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20" yWindow="0" windowWidth="32120" windowHeight="24640" tabRatio="500" activeTab="1"/>
  </bookViews>
  <sheets>
    <sheet name="FUENTES EN EL EJE CENTRAL" sheetId="2" r:id="rId1"/>
    <sheet name="FUENTES FUERA DEL EJE CENTRAL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30" i="1" l="1"/>
  <c r="BC30" i="1"/>
  <c r="AX25" i="1"/>
  <c r="AW25" i="1"/>
  <c r="BD30" i="1"/>
  <c r="BA31" i="1"/>
  <c r="AY25" i="1"/>
  <c r="AW27" i="1"/>
  <c r="BA30" i="1"/>
  <c r="AZ8" i="1"/>
  <c r="AY30" i="1"/>
  <c r="AV33" i="1"/>
  <c r="AX33" i="1"/>
  <c r="AY33" i="1"/>
  <c r="AZ33" i="1"/>
  <c r="AN38" i="1"/>
  <c r="AN35" i="1"/>
  <c r="AO38" i="1"/>
  <c r="AQ38" i="1"/>
  <c r="AR38" i="1"/>
  <c r="AP38" i="1"/>
  <c r="AO39" i="1"/>
  <c r="AP39" i="1"/>
  <c r="AN32" i="1"/>
  <c r="W25" i="1"/>
  <c r="Y25" i="1"/>
  <c r="Z25" i="1"/>
  <c r="Y26" i="1"/>
  <c r="Z26" i="1"/>
  <c r="U26" i="1"/>
  <c r="AO35" i="1"/>
  <c r="AQ35" i="1"/>
  <c r="AR35" i="1"/>
  <c r="AO36" i="1"/>
  <c r="AP36" i="1"/>
  <c r="AN29" i="1"/>
  <c r="AO23" i="1"/>
  <c r="AP23" i="1"/>
  <c r="AN25" i="1"/>
  <c r="AP25" i="1"/>
  <c r="AR25" i="1"/>
  <c r="AS25" i="1"/>
  <c r="AR26" i="1"/>
  <c r="AS26" i="1"/>
  <c r="AN26" i="1"/>
  <c r="AQ41" i="1"/>
  <c r="AW38" i="1"/>
  <c r="AY38" i="1"/>
  <c r="AV38" i="1"/>
  <c r="AX38" i="1"/>
  <c r="BA38" i="1"/>
  <c r="AZ38" i="1"/>
  <c r="BB38" i="1"/>
  <c r="BC38" i="1"/>
  <c r="AY39" i="1"/>
  <c r="AV40" i="1"/>
  <c r="AW40" i="1"/>
  <c r="AX40" i="1"/>
  <c r="AV35" i="1"/>
  <c r="AW35" i="1"/>
  <c r="AX35" i="1"/>
  <c r="AY35" i="1"/>
  <c r="AZ35" i="1"/>
  <c r="AW36" i="1"/>
  <c r="AV36" i="1"/>
  <c r="AX36" i="1"/>
  <c r="AZ36" i="1"/>
  <c r="AQ26" i="1"/>
  <c r="AN40" i="1"/>
  <c r="AV39" i="1"/>
  <c r="AW39" i="1"/>
  <c r="AX39" i="1"/>
  <c r="AZ39" i="1"/>
  <c r="BA39" i="1"/>
  <c r="AN39" i="1"/>
  <c r="AT38" i="1"/>
  <c r="AS38" i="1"/>
  <c r="AN37" i="1"/>
  <c r="AN36" i="1"/>
  <c r="AT35" i="1"/>
  <c r="AS35" i="1"/>
  <c r="AN34" i="1"/>
  <c r="AO32" i="1"/>
  <c r="AQ32" i="1"/>
  <c r="AR32" i="1"/>
  <c r="AO33" i="1"/>
  <c r="AP33" i="1"/>
  <c r="AQ33" i="1"/>
  <c r="AN33" i="1"/>
  <c r="AT32" i="1"/>
  <c r="AS32" i="1"/>
  <c r="AX30" i="1"/>
  <c r="AW31" i="1"/>
  <c r="AY31" i="1"/>
  <c r="AX31" i="1"/>
  <c r="AV31" i="1"/>
  <c r="AN31" i="1"/>
  <c r="AN30" i="1"/>
  <c r="AO28" i="1"/>
  <c r="AQ28" i="1"/>
  <c r="AR28" i="1"/>
  <c r="AO29" i="1"/>
  <c r="AP29" i="1"/>
  <c r="AQ29" i="1"/>
  <c r="AW28" i="1"/>
  <c r="AX28" i="1"/>
  <c r="AT28" i="1"/>
  <c r="AS28" i="1"/>
  <c r="AO26" i="1"/>
  <c r="AP26" i="1"/>
  <c r="AN28" i="1"/>
  <c r="AX27" i="1"/>
  <c r="AN27" i="1"/>
  <c r="AO25" i="1"/>
  <c r="AI30" i="1"/>
  <c r="AJ30" i="1"/>
  <c r="AE25" i="1"/>
  <c r="AD25" i="1"/>
  <c r="AK30" i="1"/>
  <c r="AH31" i="1"/>
  <c r="AF25" i="1"/>
  <c r="AD27" i="1"/>
  <c r="AH30" i="1"/>
  <c r="AG8" i="1"/>
  <c r="AF30" i="1"/>
  <c r="AC33" i="1"/>
  <c r="AE33" i="1"/>
  <c r="AF33" i="1"/>
  <c r="AG33" i="1"/>
  <c r="U38" i="1"/>
  <c r="U35" i="1"/>
  <c r="V38" i="1"/>
  <c r="X38" i="1"/>
  <c r="Y38" i="1"/>
  <c r="W38" i="1"/>
  <c r="V39" i="1"/>
  <c r="W39" i="1"/>
  <c r="U32" i="1"/>
  <c r="V35" i="1"/>
  <c r="X35" i="1"/>
  <c r="Y35" i="1"/>
  <c r="V36" i="1"/>
  <c r="W36" i="1"/>
  <c r="U29" i="1"/>
  <c r="V23" i="1"/>
  <c r="W23" i="1"/>
  <c r="U25" i="1"/>
  <c r="X41" i="1"/>
  <c r="AD38" i="1"/>
  <c r="AF38" i="1"/>
  <c r="AC38" i="1"/>
  <c r="AE38" i="1"/>
  <c r="AH38" i="1"/>
  <c r="AG38" i="1"/>
  <c r="AI38" i="1"/>
  <c r="AJ38" i="1"/>
  <c r="AF39" i="1"/>
  <c r="AC40" i="1"/>
  <c r="AD40" i="1"/>
  <c r="AE40" i="1"/>
  <c r="AC35" i="1"/>
  <c r="AD35" i="1"/>
  <c r="AE35" i="1"/>
  <c r="AF35" i="1"/>
  <c r="AG35" i="1"/>
  <c r="AD36" i="1"/>
  <c r="AC36" i="1"/>
  <c r="AE36" i="1"/>
  <c r="AG36" i="1"/>
  <c r="X26" i="1"/>
  <c r="U40" i="1"/>
  <c r="AC39" i="1"/>
  <c r="AD39" i="1"/>
  <c r="AE39" i="1"/>
  <c r="AG39" i="1"/>
  <c r="AH39" i="1"/>
  <c r="U39" i="1"/>
  <c r="AA38" i="1"/>
  <c r="Z38" i="1"/>
  <c r="U37" i="1"/>
  <c r="U36" i="1"/>
  <c r="AA35" i="1"/>
  <c r="Z35" i="1"/>
  <c r="U34" i="1"/>
  <c r="V32" i="1"/>
  <c r="X32" i="1"/>
  <c r="Y32" i="1"/>
  <c r="V33" i="1"/>
  <c r="W33" i="1"/>
  <c r="X33" i="1"/>
  <c r="U33" i="1"/>
  <c r="AA32" i="1"/>
  <c r="Z32" i="1"/>
  <c r="AE30" i="1"/>
  <c r="AD31" i="1"/>
  <c r="AF31" i="1"/>
  <c r="AE31" i="1"/>
  <c r="AC31" i="1"/>
  <c r="U31" i="1"/>
  <c r="U30" i="1"/>
  <c r="V28" i="1"/>
  <c r="X28" i="1"/>
  <c r="Y28" i="1"/>
  <c r="V29" i="1"/>
  <c r="W29" i="1"/>
  <c r="X29" i="1"/>
  <c r="AD28" i="1"/>
  <c r="AE28" i="1"/>
  <c r="AA28" i="1"/>
  <c r="Z28" i="1"/>
  <c r="V26" i="1"/>
  <c r="W26" i="1"/>
  <c r="U28" i="1"/>
  <c r="AE27" i="1"/>
  <c r="U27" i="1"/>
  <c r="V25" i="1"/>
  <c r="B35" i="1"/>
  <c r="K38" i="1"/>
  <c r="M38" i="1"/>
  <c r="J38" i="1"/>
  <c r="L38" i="1"/>
  <c r="O38" i="1"/>
  <c r="N38" i="1"/>
  <c r="P38" i="1"/>
  <c r="Q38" i="1"/>
  <c r="M39" i="1"/>
  <c r="J40" i="1"/>
  <c r="K40" i="1"/>
  <c r="L40" i="1"/>
  <c r="J39" i="1"/>
  <c r="K39" i="1"/>
  <c r="L39" i="1"/>
  <c r="N39" i="1"/>
  <c r="O39" i="1"/>
  <c r="E26" i="1"/>
  <c r="B37" i="1"/>
  <c r="B36" i="1"/>
  <c r="P30" i="1"/>
  <c r="Q30" i="1"/>
  <c r="L25" i="1"/>
  <c r="R30" i="1"/>
  <c r="O31" i="1"/>
  <c r="M25" i="1"/>
  <c r="K25" i="1"/>
  <c r="K27" i="1"/>
  <c r="M30" i="1"/>
  <c r="O30" i="1"/>
  <c r="N8" i="1"/>
  <c r="J33" i="1"/>
  <c r="J35" i="1"/>
  <c r="K35" i="1"/>
  <c r="L35" i="1"/>
  <c r="M35" i="1"/>
  <c r="N35" i="1"/>
  <c r="J36" i="1"/>
  <c r="K36" i="1"/>
  <c r="L36" i="1"/>
  <c r="N36" i="1"/>
  <c r="B40" i="1"/>
  <c r="B39" i="1"/>
  <c r="L33" i="1"/>
  <c r="M33" i="1"/>
  <c r="N33" i="1"/>
  <c r="B38" i="1"/>
  <c r="L27" i="1"/>
  <c r="K28" i="1"/>
  <c r="L28" i="1"/>
  <c r="J11" i="1"/>
  <c r="L9" i="1"/>
  <c r="J10" i="1"/>
  <c r="M11" i="1"/>
  <c r="M9" i="1"/>
  <c r="K11" i="1"/>
  <c r="J12" i="1"/>
  <c r="L12" i="1"/>
  <c r="L4" i="1"/>
  <c r="K12" i="1"/>
  <c r="K4" i="1"/>
  <c r="L11" i="1"/>
  <c r="M4" i="1"/>
  <c r="K6" i="1"/>
  <c r="N9" i="1"/>
  <c r="L6" i="1"/>
  <c r="L30" i="1"/>
  <c r="K31" i="1"/>
  <c r="M31" i="1"/>
  <c r="L31" i="1"/>
  <c r="J31" i="1"/>
  <c r="BB9" i="1"/>
  <c r="BA10" i="1"/>
  <c r="BA9" i="1"/>
  <c r="BB10" i="1"/>
  <c r="BC10" i="1"/>
  <c r="BA11" i="1"/>
  <c r="BC11" i="1"/>
  <c r="AV11" i="1"/>
  <c r="AZ9" i="1"/>
  <c r="BA15" i="1"/>
  <c r="BA17" i="1"/>
  <c r="BB17" i="1"/>
  <c r="BC17" i="1"/>
  <c r="AN17" i="1"/>
  <c r="AX9" i="1"/>
  <c r="AV10" i="1"/>
  <c r="AY11" i="1"/>
  <c r="AY9" i="1"/>
  <c r="AW11" i="1"/>
  <c r="AV12" i="1"/>
  <c r="AX12" i="1"/>
  <c r="AX4" i="1"/>
  <c r="AW12" i="1"/>
  <c r="AW4" i="1"/>
  <c r="AX11" i="1"/>
  <c r="AY4" i="1"/>
  <c r="AW7" i="1"/>
  <c r="AW6" i="1"/>
  <c r="AV13" i="1"/>
  <c r="AV17" i="1"/>
  <c r="AW17" i="1"/>
  <c r="AX17" i="1"/>
  <c r="AN14" i="1"/>
  <c r="AO11" i="1"/>
  <c r="AQ11" i="1"/>
  <c r="AR11" i="1"/>
  <c r="AO12" i="1"/>
  <c r="AP12" i="1"/>
  <c r="AQ12" i="1"/>
  <c r="AN11" i="1"/>
  <c r="AO7" i="1"/>
  <c r="AQ7" i="1"/>
  <c r="AR7" i="1"/>
  <c r="AO8" i="1"/>
  <c r="AP8" i="1"/>
  <c r="AQ8" i="1"/>
  <c r="AN8" i="1"/>
  <c r="AP4" i="1"/>
  <c r="AR4" i="1"/>
  <c r="AS4" i="1"/>
  <c r="AR5" i="1"/>
  <c r="AS5" i="1"/>
  <c r="AN5" i="1"/>
  <c r="AO2" i="1"/>
  <c r="AP2" i="1"/>
  <c r="AN4" i="1"/>
  <c r="AQ20" i="1"/>
  <c r="BA13" i="1"/>
  <c r="BA12" i="1"/>
  <c r="BB13" i="1"/>
  <c r="BC13" i="1"/>
  <c r="BA14" i="1"/>
  <c r="BB14" i="1"/>
  <c r="BC14" i="1"/>
  <c r="BB15" i="1"/>
  <c r="BC15" i="1"/>
  <c r="BD15" i="1"/>
  <c r="BA16" i="1"/>
  <c r="AQ5" i="1"/>
  <c r="BA18" i="1"/>
  <c r="AN19" i="1"/>
  <c r="AO17" i="1"/>
  <c r="AQ17" i="1"/>
  <c r="AR17" i="1"/>
  <c r="AP17" i="1"/>
  <c r="AO18" i="1"/>
  <c r="AP18" i="1"/>
  <c r="BB16" i="1"/>
  <c r="AO4" i="1"/>
  <c r="AN18" i="1"/>
  <c r="AT17" i="1"/>
  <c r="AS17" i="1"/>
  <c r="AV14" i="1"/>
  <c r="AW14" i="1"/>
  <c r="AV15" i="1"/>
  <c r="AW15" i="1"/>
  <c r="AV16" i="1"/>
  <c r="AW16" i="1"/>
  <c r="AX16" i="1"/>
  <c r="AY16" i="1"/>
  <c r="AN16" i="1"/>
  <c r="AO14" i="1"/>
  <c r="AQ14" i="1"/>
  <c r="AR14" i="1"/>
  <c r="AO15" i="1"/>
  <c r="AP15" i="1"/>
  <c r="AN15" i="1"/>
  <c r="AT14" i="1"/>
  <c r="AS14" i="1"/>
  <c r="AS11" i="1"/>
  <c r="AT11" i="1"/>
  <c r="AN13" i="1"/>
  <c r="AN12" i="1"/>
  <c r="BB11" i="1"/>
  <c r="AW10" i="1"/>
  <c r="AS7" i="1"/>
  <c r="AT7" i="1"/>
  <c r="AN10" i="1"/>
  <c r="AN9" i="1"/>
  <c r="AX7" i="1"/>
  <c r="AO5" i="1"/>
  <c r="AP5" i="1"/>
  <c r="AN7" i="1"/>
  <c r="AX6" i="1"/>
  <c r="AN6" i="1"/>
  <c r="AI9" i="1"/>
  <c r="AH10" i="1"/>
  <c r="AH9" i="1"/>
  <c r="AI10" i="1"/>
  <c r="AJ10" i="1"/>
  <c r="AH11" i="1"/>
  <c r="AJ11" i="1"/>
  <c r="AC11" i="1"/>
  <c r="AG9" i="1"/>
  <c r="AH15" i="1"/>
  <c r="AH17" i="1"/>
  <c r="AI17" i="1"/>
  <c r="AJ17" i="1"/>
  <c r="U17" i="1"/>
  <c r="AE9" i="1"/>
  <c r="AC10" i="1"/>
  <c r="AF11" i="1"/>
  <c r="AF9" i="1"/>
  <c r="AD11" i="1"/>
  <c r="AC12" i="1"/>
  <c r="AE12" i="1"/>
  <c r="AE4" i="1"/>
  <c r="AD12" i="1"/>
  <c r="AD4" i="1"/>
  <c r="AE11" i="1"/>
  <c r="AF4" i="1"/>
  <c r="AD7" i="1"/>
  <c r="AD6" i="1"/>
  <c r="AC13" i="1"/>
  <c r="AC17" i="1"/>
  <c r="AD17" i="1"/>
  <c r="AE17" i="1"/>
  <c r="U14" i="1"/>
  <c r="V11" i="1"/>
  <c r="X11" i="1"/>
  <c r="Y11" i="1"/>
  <c r="V12" i="1"/>
  <c r="W12" i="1"/>
  <c r="X12" i="1"/>
  <c r="U11" i="1"/>
  <c r="V7" i="1"/>
  <c r="X7" i="1"/>
  <c r="Y7" i="1"/>
  <c r="V8" i="1"/>
  <c r="W8" i="1"/>
  <c r="X8" i="1"/>
  <c r="U8" i="1"/>
  <c r="W4" i="1"/>
  <c r="Y4" i="1"/>
  <c r="Z4" i="1"/>
  <c r="Y5" i="1"/>
  <c r="Z5" i="1"/>
  <c r="U5" i="1"/>
  <c r="V2" i="1"/>
  <c r="W2" i="1"/>
  <c r="U4" i="1"/>
  <c r="X20" i="1"/>
  <c r="AH13" i="1"/>
  <c r="AH12" i="1"/>
  <c r="AI13" i="1"/>
  <c r="AJ13" i="1"/>
  <c r="AH14" i="1"/>
  <c r="AI14" i="1"/>
  <c r="AJ14" i="1"/>
  <c r="AI15" i="1"/>
  <c r="AJ15" i="1"/>
  <c r="AK15" i="1"/>
  <c r="AH16" i="1"/>
  <c r="X5" i="1"/>
  <c r="AH18" i="1"/>
  <c r="U19" i="1"/>
  <c r="V17" i="1"/>
  <c r="X17" i="1"/>
  <c r="Y17" i="1"/>
  <c r="W17" i="1"/>
  <c r="V18" i="1"/>
  <c r="W18" i="1"/>
  <c r="AI16" i="1"/>
  <c r="V4" i="1"/>
  <c r="U18" i="1"/>
  <c r="AA17" i="1"/>
  <c r="Z17" i="1"/>
  <c r="AC14" i="1"/>
  <c r="AD14" i="1"/>
  <c r="AC15" i="1"/>
  <c r="AD15" i="1"/>
  <c r="AC16" i="1"/>
  <c r="AD16" i="1"/>
  <c r="AE16" i="1"/>
  <c r="AF16" i="1"/>
  <c r="U16" i="1"/>
  <c r="V14" i="1"/>
  <c r="X14" i="1"/>
  <c r="Y14" i="1"/>
  <c r="V15" i="1"/>
  <c r="W15" i="1"/>
  <c r="U15" i="1"/>
  <c r="AA14" i="1"/>
  <c r="Z14" i="1"/>
  <c r="Z11" i="1"/>
  <c r="AA11" i="1"/>
  <c r="U13" i="1"/>
  <c r="U12" i="1"/>
  <c r="AI11" i="1"/>
  <c r="AD10" i="1"/>
  <c r="Z7" i="1"/>
  <c r="AA7" i="1"/>
  <c r="U10" i="1"/>
  <c r="U9" i="1"/>
  <c r="AE7" i="1"/>
  <c r="V5" i="1"/>
  <c r="W5" i="1"/>
  <c r="U7" i="1"/>
  <c r="AE6" i="1"/>
  <c r="U6" i="1"/>
  <c r="O9" i="1"/>
  <c r="O13" i="1"/>
  <c r="P9" i="1"/>
  <c r="O10" i="1"/>
  <c r="P10" i="1"/>
  <c r="Q10" i="1"/>
  <c r="O11" i="1"/>
  <c r="Q11" i="1"/>
  <c r="O12" i="1"/>
  <c r="P13" i="1"/>
  <c r="Q13" i="1"/>
  <c r="O14" i="1"/>
  <c r="P14" i="1"/>
  <c r="Q14" i="1"/>
  <c r="O15" i="1"/>
  <c r="P15" i="1"/>
  <c r="Q15" i="1"/>
  <c r="R15" i="1"/>
  <c r="O16" i="1"/>
  <c r="E5" i="1"/>
  <c r="O18" i="1"/>
  <c r="B19" i="1"/>
  <c r="O17" i="1"/>
  <c r="P17" i="1"/>
  <c r="Q17" i="1"/>
  <c r="B17" i="1"/>
  <c r="P16" i="1"/>
  <c r="C4" i="1"/>
  <c r="B18" i="1"/>
  <c r="K7" i="1"/>
  <c r="J14" i="1"/>
  <c r="P11" i="1"/>
  <c r="K14" i="1"/>
  <c r="J15" i="1"/>
  <c r="J13" i="1"/>
  <c r="K15" i="1"/>
  <c r="J16" i="1"/>
  <c r="K16" i="1"/>
  <c r="L16" i="1"/>
  <c r="B16" i="1"/>
  <c r="J17" i="1"/>
  <c r="K17" i="1"/>
  <c r="L17" i="1"/>
  <c r="B14" i="1"/>
  <c r="M16" i="1"/>
  <c r="B15" i="1"/>
  <c r="L7" i="1"/>
  <c r="V25" i="2"/>
  <c r="V27" i="2"/>
  <c r="W27" i="2"/>
  <c r="T28" i="2"/>
  <c r="W25" i="2"/>
  <c r="X25" i="2"/>
  <c r="Y25" i="2"/>
  <c r="V26" i="2"/>
  <c r="T27" i="2"/>
  <c r="Z25" i="2"/>
  <c r="V23" i="2"/>
  <c r="T26" i="2"/>
  <c r="V24" i="2"/>
  <c r="T25" i="2"/>
  <c r="W23" i="2"/>
  <c r="X23" i="2"/>
  <c r="T24" i="2"/>
  <c r="V15" i="2"/>
  <c r="V17" i="2"/>
  <c r="W17" i="2"/>
  <c r="T18" i="2"/>
  <c r="W15" i="2"/>
  <c r="X15" i="2"/>
  <c r="Y15" i="2"/>
  <c r="V16" i="2"/>
  <c r="T17" i="2"/>
  <c r="Z15" i="2"/>
  <c r="V13" i="2"/>
  <c r="T16" i="2"/>
  <c r="V14" i="2"/>
  <c r="T15" i="2"/>
  <c r="W13" i="2"/>
  <c r="X13" i="2"/>
  <c r="T14" i="2"/>
  <c r="V4" i="2"/>
  <c r="V6" i="2"/>
  <c r="W6" i="2"/>
  <c r="T7" i="2"/>
  <c r="W4" i="2"/>
  <c r="X4" i="2"/>
  <c r="Y4" i="2"/>
  <c r="V5" i="2"/>
  <c r="T6" i="2"/>
  <c r="Z4" i="2"/>
  <c r="V2" i="2"/>
  <c r="T5" i="2"/>
  <c r="V3" i="2"/>
  <c r="T4" i="2"/>
  <c r="W2" i="2"/>
  <c r="X2" i="2"/>
  <c r="T3" i="2"/>
  <c r="M25" i="2"/>
  <c r="M27" i="2"/>
  <c r="N27" i="2"/>
  <c r="K28" i="2"/>
  <c r="N25" i="2"/>
  <c r="O25" i="2"/>
  <c r="P25" i="2"/>
  <c r="M26" i="2"/>
  <c r="K27" i="2"/>
  <c r="Q25" i="2"/>
  <c r="M23" i="2"/>
  <c r="K26" i="2"/>
  <c r="M24" i="2"/>
  <c r="K25" i="2"/>
  <c r="N23" i="2"/>
  <c r="O23" i="2"/>
  <c r="K24" i="2"/>
  <c r="M15" i="2"/>
  <c r="M17" i="2"/>
  <c r="N17" i="2"/>
  <c r="K18" i="2"/>
  <c r="N15" i="2"/>
  <c r="O15" i="2"/>
  <c r="P15" i="2"/>
  <c r="M16" i="2"/>
  <c r="K17" i="2"/>
  <c r="Q15" i="2"/>
  <c r="M13" i="2"/>
  <c r="K16" i="2"/>
  <c r="M14" i="2"/>
  <c r="K15" i="2"/>
  <c r="N13" i="2"/>
  <c r="O13" i="2"/>
  <c r="K14" i="2"/>
  <c r="M4" i="2"/>
  <c r="M6" i="2"/>
  <c r="N6" i="2"/>
  <c r="K7" i="2"/>
  <c r="N4" i="2"/>
  <c r="O4" i="2"/>
  <c r="P4" i="2"/>
  <c r="M5" i="2"/>
  <c r="K6" i="2"/>
  <c r="Q4" i="2"/>
  <c r="M2" i="2"/>
  <c r="K5" i="2"/>
  <c r="M3" i="2"/>
  <c r="K4" i="2"/>
  <c r="N2" i="2"/>
  <c r="O2" i="2"/>
  <c r="K3" i="2"/>
  <c r="D25" i="2"/>
  <c r="E25" i="2"/>
  <c r="F25" i="2"/>
  <c r="G25" i="2"/>
  <c r="D26" i="2"/>
  <c r="H25" i="2"/>
  <c r="D23" i="2"/>
  <c r="B26" i="2"/>
  <c r="D15" i="2"/>
  <c r="E15" i="2"/>
  <c r="F15" i="2"/>
  <c r="G15" i="2"/>
  <c r="H15" i="2"/>
  <c r="D13" i="2"/>
  <c r="B16" i="2"/>
  <c r="E23" i="2"/>
  <c r="F23" i="2"/>
  <c r="B24" i="2"/>
  <c r="C11" i="1"/>
  <c r="E11" i="1"/>
  <c r="G11" i="1"/>
  <c r="F11" i="1"/>
  <c r="H11" i="1"/>
  <c r="B13" i="1"/>
  <c r="K10" i="1"/>
  <c r="E41" i="1"/>
  <c r="C38" i="1"/>
  <c r="E38" i="1"/>
  <c r="G38" i="1"/>
  <c r="F38" i="1"/>
  <c r="H38" i="1"/>
  <c r="B34" i="1"/>
  <c r="D38" i="1"/>
  <c r="C39" i="1"/>
  <c r="D39" i="1"/>
  <c r="B33" i="1"/>
  <c r="B32" i="1"/>
  <c r="C35" i="1"/>
  <c r="E35" i="1"/>
  <c r="G35" i="1"/>
  <c r="F35" i="1"/>
  <c r="H35" i="1"/>
  <c r="B31" i="1"/>
  <c r="C36" i="1"/>
  <c r="D36" i="1"/>
  <c r="B30" i="1"/>
  <c r="B29" i="1"/>
  <c r="C32" i="1"/>
  <c r="E32" i="1"/>
  <c r="G32" i="1"/>
  <c r="F32" i="1"/>
  <c r="H32" i="1"/>
  <c r="C33" i="1"/>
  <c r="D33" i="1"/>
  <c r="E33" i="1"/>
  <c r="C28" i="1"/>
  <c r="E28" i="1"/>
  <c r="G28" i="1"/>
  <c r="F28" i="1"/>
  <c r="H28" i="1"/>
  <c r="C29" i="1"/>
  <c r="D29" i="1"/>
  <c r="E29" i="1"/>
  <c r="D25" i="1"/>
  <c r="F25" i="1"/>
  <c r="C26" i="1"/>
  <c r="G25" i="1"/>
  <c r="D26" i="1"/>
  <c r="B28" i="1"/>
  <c r="B27" i="1"/>
  <c r="F26" i="1"/>
  <c r="G26" i="1"/>
  <c r="B26" i="1"/>
  <c r="C25" i="1"/>
  <c r="C23" i="1"/>
  <c r="D23" i="1"/>
  <c r="B25" i="1"/>
  <c r="D14" i="2"/>
  <c r="E13" i="2"/>
  <c r="D17" i="2"/>
  <c r="E17" i="2"/>
  <c r="B18" i="2"/>
  <c r="D16" i="2"/>
  <c r="B17" i="2"/>
  <c r="B15" i="2"/>
  <c r="F13" i="2"/>
  <c r="B14" i="2"/>
  <c r="D4" i="2"/>
  <c r="E4" i="2"/>
  <c r="F4" i="2"/>
  <c r="G4" i="2"/>
  <c r="D5" i="2"/>
  <c r="B6" i="2"/>
  <c r="H4" i="2"/>
  <c r="D2" i="2"/>
  <c r="B5" i="2"/>
  <c r="D24" i="2"/>
  <c r="D27" i="2"/>
  <c r="E27" i="2"/>
  <c r="B28" i="2"/>
  <c r="B27" i="2"/>
  <c r="B25" i="2"/>
  <c r="D3" i="2"/>
  <c r="B4" i="2"/>
  <c r="E2" i="2"/>
  <c r="F2" i="2"/>
  <c r="B3" i="2"/>
  <c r="D6" i="2"/>
  <c r="E6" i="2"/>
  <c r="B7" i="2"/>
  <c r="E20" i="1"/>
  <c r="C17" i="1"/>
  <c r="E17" i="1"/>
  <c r="F17" i="1"/>
  <c r="D17" i="1"/>
  <c r="C18" i="1"/>
  <c r="D18" i="1"/>
  <c r="G17" i="1"/>
  <c r="H17" i="1"/>
  <c r="C14" i="1"/>
  <c r="E14" i="1"/>
  <c r="G14" i="1"/>
  <c r="F14" i="1"/>
  <c r="H14" i="1"/>
  <c r="C15" i="1"/>
  <c r="D15" i="1"/>
  <c r="C12" i="1"/>
  <c r="D12" i="1"/>
  <c r="E12" i="1"/>
  <c r="B11" i="1"/>
  <c r="B12" i="1"/>
  <c r="C7" i="1"/>
  <c r="E7" i="1"/>
  <c r="G7" i="1"/>
  <c r="F7" i="1"/>
  <c r="H7" i="1"/>
  <c r="B10" i="1"/>
  <c r="C8" i="1"/>
  <c r="D8" i="1"/>
  <c r="E8" i="1"/>
  <c r="B8" i="1"/>
  <c r="B9" i="1"/>
  <c r="D4" i="1"/>
  <c r="F4" i="1"/>
  <c r="C5" i="1"/>
  <c r="G4" i="1"/>
  <c r="D5" i="1"/>
  <c r="B7" i="1"/>
  <c r="F5" i="1"/>
  <c r="G5" i="1"/>
  <c r="B5" i="1"/>
  <c r="B6" i="1"/>
  <c r="C2" i="1"/>
  <c r="D2" i="1"/>
  <c r="B4" i="1"/>
</calcChain>
</file>

<file path=xl/sharedStrings.xml><?xml version="1.0" encoding="utf-8"?>
<sst xmlns="http://schemas.openxmlformats.org/spreadsheetml/2006/main" count="425" uniqueCount="52">
  <si>
    <t>Metros</t>
  </si>
  <si>
    <t>Pan</t>
  </si>
  <si>
    <t>ms</t>
  </si>
  <si>
    <t>db</t>
  </si>
  <si>
    <t>ax2 + bx + c = 0</t>
  </si>
  <si>
    <t xml:space="preserve">x = -b + </t>
  </si>
  <si>
    <t>x1=</t>
  </si>
  <si>
    <t>x2=</t>
  </si>
  <si>
    <t>a</t>
  </si>
  <si>
    <t>b</t>
  </si>
  <si>
    <t>c</t>
  </si>
  <si>
    <t>Fórmula cuadrática</t>
  </si>
  <si>
    <t>Tiempo recorrido por señal original</t>
  </si>
  <si>
    <t>Tiempo recorrido por reflexion Trasera</t>
  </si>
  <si>
    <t>Distancia recorrida por reflexion Trasera</t>
  </si>
  <si>
    <t>DISTANCIA VERTICAL DESDE EJE OYENTE_</t>
  </si>
  <si>
    <t>RETRASO REFLEXION TRASERA_</t>
  </si>
  <si>
    <r>
      <t>ATENUACION REFLEXION TRASERA_</t>
    </r>
    <r>
      <rPr>
        <b/>
        <i/>
        <sz val="14"/>
        <color rgb="FFFFFF00"/>
        <rFont val="Avenir Book Oblique"/>
      </rPr>
      <t xml:space="preserve"> </t>
    </r>
  </si>
  <si>
    <r>
      <rPr>
        <b/>
        <i/>
        <sz val="14"/>
        <color theme="0"/>
        <rFont val="Avenir Book Oblique"/>
      </rPr>
      <t>RETRASO REFLEXIONES LATERALES_</t>
    </r>
  </si>
  <si>
    <r>
      <rPr>
        <b/>
        <i/>
        <sz val="14"/>
        <color theme="0"/>
        <rFont val="Avenir Book Oblique"/>
      </rPr>
      <t>ATENUACION REFLEXIONES LATERALES_</t>
    </r>
  </si>
  <si>
    <r>
      <t>RETRASO REFLEXION TRASERA_</t>
    </r>
    <r>
      <rPr>
        <b/>
        <i/>
        <sz val="14"/>
        <color rgb="FFFFFF00"/>
        <rFont val="Avenir Book Oblique"/>
      </rPr>
      <t xml:space="preserve"> </t>
    </r>
  </si>
  <si>
    <t>ATENUACION REFLEXION TRASERA_</t>
  </si>
  <si>
    <t>DISTANCIA VERTICAL DESDE OYENTE_</t>
  </si>
  <si>
    <t>DISTANCIA HORIZONTAL DESDE EJE CENTRAL_</t>
  </si>
  <si>
    <t xml:space="preserve">PANORAMA SEÑAL ORIGINAL_ </t>
  </si>
  <si>
    <t>PANORAMA REFLEXION TRASERA_</t>
  </si>
  <si>
    <r>
      <rPr>
        <b/>
        <i/>
        <sz val="14"/>
        <color theme="0"/>
        <rFont val="Avenir Book Oblique"/>
      </rPr>
      <t>PANORAMA REFLEXION LATERAL IZQ_</t>
    </r>
  </si>
  <si>
    <r>
      <rPr>
        <b/>
        <i/>
        <sz val="14"/>
        <color theme="0"/>
        <rFont val="Avenir Book Oblique"/>
      </rPr>
      <t>RETRASO REFLEXION LATERAL IZQ_</t>
    </r>
  </si>
  <si>
    <r>
      <rPr>
        <b/>
        <i/>
        <sz val="14"/>
        <color theme="0"/>
        <rFont val="Avenir Book Oblique"/>
      </rPr>
      <t>ATENUACION REFLEXION LATERAL IZQ_</t>
    </r>
  </si>
  <si>
    <r>
      <rPr>
        <b/>
        <i/>
        <sz val="14"/>
        <color theme="0"/>
        <rFont val="Avenir Book Oblique"/>
      </rPr>
      <t>PANORAMA REFLEXION LATERAL DRCHA_</t>
    </r>
  </si>
  <si>
    <r>
      <rPr>
        <b/>
        <i/>
        <sz val="14"/>
        <color theme="0"/>
        <rFont val="Avenir Book Oblique"/>
      </rPr>
      <t>RETRASO REFLEXION LATERAL DRCHA_</t>
    </r>
  </si>
  <si>
    <r>
      <rPr>
        <b/>
        <i/>
        <sz val="14"/>
        <color theme="0"/>
        <rFont val="Avenir Book Oblique"/>
      </rPr>
      <t>ATENUACION REFLEXION LATERAL DRCHA_</t>
    </r>
    <r>
      <rPr>
        <b/>
        <i/>
        <sz val="14"/>
        <color rgb="FFFF6600"/>
        <rFont val="Avenir Book Oblique"/>
      </rPr>
      <t xml:space="preserve"> </t>
    </r>
  </si>
  <si>
    <t>PANORAMA REFLEXION DOBLE IZQ_</t>
  </si>
  <si>
    <t>RETRASO REFLEXION DOBLE IZQ_</t>
  </si>
  <si>
    <t>ATENUACION  REFLEXION DOBLE IZQ_</t>
  </si>
  <si>
    <t>PANORAMA REFLEXION DOBLE DRCHA_</t>
  </si>
  <si>
    <t>RETRASO REFLEXION DOBLE DRCHA_</t>
  </si>
  <si>
    <t>ATENUACION REFLEXION DOBLE DRCHA_</t>
  </si>
  <si>
    <r>
      <rPr>
        <b/>
        <i/>
        <sz val="14"/>
        <color theme="0"/>
        <rFont val="Avenir Book Oblique"/>
      </rPr>
      <t>ATENUACION REFLEXION LATERAL DRCHA_</t>
    </r>
  </si>
  <si>
    <r>
      <rPr>
        <b/>
        <i/>
        <sz val="14"/>
        <color theme="0"/>
        <rFont val="Avenir Book Oblique"/>
      </rPr>
      <t>PANORAMA REFLEXIONES LATERALES_</t>
    </r>
    <r>
      <rPr>
        <b/>
        <i/>
        <sz val="14"/>
        <color theme="0"/>
        <rFont val="Avenir Book Oblique"/>
      </rPr>
      <t xml:space="preserve"> </t>
    </r>
  </si>
  <si>
    <r>
      <rPr>
        <b/>
        <i/>
        <sz val="14"/>
        <color theme="0"/>
        <rFont val="Avenir Book Oblique"/>
      </rPr>
      <t>PANORAMA REFLEXIONES LATERALES_</t>
    </r>
  </si>
  <si>
    <r>
      <rPr>
        <b/>
        <i/>
        <sz val="14"/>
        <color theme="0"/>
        <rFont val="Avenir Book Oblique"/>
      </rPr>
      <t xml:space="preserve">PANORAMA REFLEXIONES LATERALES_ </t>
    </r>
  </si>
  <si>
    <t>Ableton Live</t>
  </si>
  <si>
    <t>Logic Pro</t>
  </si>
  <si>
    <t>Pro Tools</t>
  </si>
  <si>
    <r>
      <t>EARLY DELA</t>
    </r>
    <r>
      <rPr>
        <b/>
        <i/>
        <sz val="16"/>
        <color rgb="FF177E11"/>
        <rFont val="Avenir Book Oblique"/>
      </rPr>
      <t>YS - Espa</t>
    </r>
    <r>
      <rPr>
        <b/>
        <i/>
        <sz val="16"/>
        <color rgb="FF008000"/>
        <rFont val="Avenir Book Oblique"/>
      </rPr>
      <t xml:space="preserve">cio </t>
    </r>
    <r>
      <rPr>
        <b/>
        <i/>
        <sz val="16"/>
        <color rgb="FFFF6600"/>
        <rFont val="Avenir Book Oblique"/>
      </rPr>
      <t>(6x5 metros)</t>
    </r>
  </si>
  <si>
    <r>
      <rPr>
        <b/>
        <i/>
        <sz val="16"/>
        <color rgb="FF008000"/>
        <rFont val="Avenir Book Oblique"/>
      </rPr>
      <t xml:space="preserve">EARLY DELAYS - Espacio </t>
    </r>
    <r>
      <rPr>
        <b/>
        <i/>
        <sz val="16"/>
        <color rgb="FFFF6600"/>
        <rFont val="Avenir Book Oblique"/>
      </rPr>
      <t>(6x7,5 metros)</t>
    </r>
  </si>
  <si>
    <r>
      <rPr>
        <b/>
        <i/>
        <sz val="16"/>
        <color rgb="FF008000"/>
        <rFont val="Avenir Book Oblique"/>
      </rPr>
      <t xml:space="preserve">EARLY DELAYS - Espacio </t>
    </r>
    <r>
      <rPr>
        <b/>
        <i/>
        <sz val="16"/>
        <color rgb="FFFF6600"/>
        <rFont val="Avenir Book Oblique"/>
      </rPr>
      <t>(6x10 metros)</t>
    </r>
  </si>
  <si>
    <r>
      <rPr>
        <b/>
        <i/>
        <sz val="16"/>
        <color rgb="FF008000"/>
        <rFont val="Avenir Book Oblique"/>
      </rPr>
      <t>EARLY DELA</t>
    </r>
    <r>
      <rPr>
        <b/>
        <i/>
        <sz val="16"/>
        <color rgb="FF177E11"/>
        <rFont val="Avenir Book Oblique"/>
      </rPr>
      <t>YS - Espa</t>
    </r>
    <r>
      <rPr>
        <b/>
        <i/>
        <sz val="16"/>
        <color rgb="FF008000"/>
        <rFont val="Avenir Book Oblique"/>
      </rPr>
      <t xml:space="preserve">cio </t>
    </r>
    <r>
      <rPr>
        <b/>
        <i/>
        <sz val="16"/>
        <color rgb="FFFF6600"/>
        <rFont val="Avenir Book Oblique"/>
      </rPr>
      <t>(6x5 metros)</t>
    </r>
  </si>
  <si>
    <r>
      <rPr>
        <b/>
        <i/>
        <sz val="16"/>
        <color rgb="FF177E11"/>
        <rFont val="Avenir Book Oblique"/>
      </rPr>
      <t xml:space="preserve">EARLY DELAYS - Espacio </t>
    </r>
    <r>
      <rPr>
        <b/>
        <i/>
        <sz val="16"/>
        <color rgb="FFFF6600"/>
        <rFont val="Avenir Book Oblique"/>
      </rPr>
      <t xml:space="preserve">(6x5 metros) Fuentes </t>
    </r>
    <r>
      <rPr>
        <b/>
        <i/>
        <sz val="16"/>
        <color rgb="FF177E11"/>
        <rFont val="Avenir Book Oblique"/>
      </rPr>
      <t>Izq</t>
    </r>
  </si>
  <si>
    <r>
      <rPr>
        <b/>
        <i/>
        <sz val="16"/>
        <color rgb="FF177E11"/>
        <rFont val="Avenir Book Oblique"/>
      </rPr>
      <t xml:space="preserve">EARLY DELAYS - Espacio </t>
    </r>
    <r>
      <rPr>
        <b/>
        <i/>
        <sz val="16"/>
        <color rgb="FFFF6600"/>
        <rFont val="Avenir Book Oblique"/>
      </rPr>
      <t xml:space="preserve">(6x5 metros) Fuentes </t>
    </r>
    <r>
      <rPr>
        <b/>
        <i/>
        <sz val="16"/>
        <color rgb="FF008000"/>
        <rFont val="Avenir Book Oblique"/>
      </rPr>
      <t>Drcha</t>
    </r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</si>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</sst>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scheme val="minor"/>
    </font>
    <font>
      <b/>
      <i/>
      <sz val="12"/>
      <color theme="1"/>
      <name val="Avenir Book Oblique"/>
    </font>
    <font>
      <b/>
      <i/>
      <sz val="14"/>
      <color rgb="FFFF6600"/>
      <name val="Avenir Book Oblique"/>
    </font>
    <font>
      <b/>
      <i/>
      <sz val="14"/>
      <color rgb="FFFFFF00"/>
      <name val="Avenir Book Oblique"/>
    </font>
    <font>
      <b/>
      <i/>
      <sz val="14"/>
      <color theme="0"/>
      <name val="Avenir Book Oblique"/>
    </font>
    <font>
      <b/>
      <i/>
      <sz val="12"/>
      <color theme="1"/>
      <name val="Calibri"/>
      <scheme val="minor"/>
    </font>
    <font>
      <sz val="12"/>
      <color rgb="FF008000"/>
      <name val="Calibri"/>
      <scheme val="minor"/>
    </font>
    <font>
      <sz val="16"/>
      <color rgb="FF008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u/>
      <sz val="16"/>
      <color rgb="FF008000"/>
      <name val="Baskerville SemiBold Italic"/>
    </font>
    <font>
      <b/>
      <i/>
      <sz val="14"/>
      <name val="Avenir Book Oblique"/>
    </font>
    <font>
      <b/>
      <i/>
      <sz val="14"/>
      <color theme="1"/>
      <name val="Avenir Book Oblique"/>
    </font>
    <font>
      <b/>
      <i/>
      <sz val="16"/>
      <color rgb="FF008000"/>
      <name val="Avenir Book Oblique"/>
    </font>
    <font>
      <b/>
      <i/>
      <sz val="16"/>
      <color rgb="FF177E11"/>
      <name val="Avenir Book Oblique"/>
    </font>
    <font>
      <b/>
      <i/>
      <sz val="16"/>
      <color rgb="FFFF6600"/>
      <name val="Avenir Book Oblique"/>
    </font>
    <font>
      <sz val="16"/>
      <color rgb="FF008000"/>
      <name val="Avenir Book Oblique"/>
    </font>
    <font>
      <b/>
      <i/>
      <sz val="16"/>
      <color theme="1"/>
      <name val="Avenir Book Oblique"/>
    </font>
    <font>
      <sz val="12"/>
      <color rgb="FFFF0000"/>
      <name val="Calibri"/>
      <family val="2"/>
      <scheme val="minor"/>
    </font>
    <font>
      <sz val="12"/>
      <color rgb="FF3366FF"/>
      <name val="Calibri"/>
      <scheme val="minor"/>
    </font>
    <font>
      <sz val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1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C3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Font="1" applyAlignment="1">
      <alignment horizontal="center" wrapText="1"/>
    </xf>
    <xf numFmtId="0" fontId="3" fillId="0" borderId="0" xfId="0" applyFont="1"/>
    <xf numFmtId="164" fontId="0" fillId="0" borderId="0" xfId="0" applyNumberFormat="1"/>
    <xf numFmtId="0" fontId="9" fillId="0" borderId="2" xfId="0" applyFont="1" applyBorder="1"/>
    <xf numFmtId="0" fontId="9" fillId="0" borderId="3" xfId="0" applyFont="1" applyBorder="1"/>
    <xf numFmtId="2" fontId="7" fillId="0" borderId="4" xfId="0" applyNumberFormat="1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7" fillId="0" borderId="1" xfId="0" applyFont="1" applyBorder="1"/>
    <xf numFmtId="0" fontId="8" fillId="0" borderId="4" xfId="0" applyFont="1" applyBorder="1" applyAlignment="1">
      <alignment horizontal="right"/>
    </xf>
    <xf numFmtId="0" fontId="8" fillId="4" borderId="6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horizontal="left"/>
    </xf>
    <xf numFmtId="2" fontId="7" fillId="5" borderId="10" xfId="0" applyNumberFormat="1" applyFont="1" applyFill="1" applyBorder="1" applyAlignment="1">
      <alignment horizontal="left"/>
    </xf>
    <xf numFmtId="2" fontId="7" fillId="5" borderId="11" xfId="0" applyNumberFormat="1" applyFont="1" applyFill="1" applyBorder="1" applyAlignment="1">
      <alignment horizontal="left"/>
    </xf>
    <xf numFmtId="2" fontId="7" fillId="5" borderId="12" xfId="0" applyNumberFormat="1" applyFont="1" applyFill="1" applyBorder="1" applyAlignment="1">
      <alignment horizontal="left"/>
    </xf>
    <xf numFmtId="2" fontId="0" fillId="0" borderId="0" xfId="0" applyNumberFormat="1"/>
    <xf numFmtId="0" fontId="7" fillId="0" borderId="0" xfId="0" applyFont="1"/>
    <xf numFmtId="2" fontId="0" fillId="0" borderId="0" xfId="0" applyNumberFormat="1" applyBorder="1"/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2" fontId="2" fillId="6" borderId="10" xfId="0" applyNumberFormat="1" applyFont="1" applyFill="1" applyBorder="1" applyAlignment="1">
      <alignment horizontal="left" vertical="center" wrapText="1"/>
    </xf>
    <xf numFmtId="2" fontId="2" fillId="3" borderId="11" xfId="0" applyNumberFormat="1" applyFont="1" applyFill="1" applyBorder="1" applyAlignment="1">
      <alignment horizontal="left" vertical="center" wrapText="1"/>
    </xf>
    <xf numFmtId="2" fontId="2" fillId="6" borderId="11" xfId="0" applyNumberFormat="1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/>
    </xf>
    <xf numFmtId="2" fontId="7" fillId="6" borderId="11" xfId="0" applyNumberFormat="1" applyFont="1" applyFill="1" applyBorder="1" applyAlignment="1">
      <alignment horizontal="left" vertical="center"/>
    </xf>
    <xf numFmtId="0" fontId="20" fillId="0" borderId="0" xfId="0" applyFont="1"/>
    <xf numFmtId="2" fontId="20" fillId="0" borderId="0" xfId="0" applyNumberFormat="1" applyFont="1"/>
    <xf numFmtId="2" fontId="21" fillId="0" borderId="0" xfId="0" applyNumberFormat="1" applyFont="1"/>
    <xf numFmtId="0" fontId="22" fillId="0" borderId="0" xfId="0" applyFont="1"/>
    <xf numFmtId="2" fontId="7" fillId="6" borderId="1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left"/>
    </xf>
    <xf numFmtId="0" fontId="13" fillId="0" borderId="17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7" xfId="0" applyFont="1" applyBorder="1" applyAlignment="1">
      <alignment horizontal="center" wrapText="1"/>
    </xf>
    <xf numFmtId="0" fontId="13" fillId="0" borderId="17" xfId="0" applyFont="1" applyFill="1" applyBorder="1" applyAlignment="1">
      <alignment horizontal="center" wrapText="1"/>
    </xf>
    <xf numFmtId="0" fontId="21" fillId="0" borderId="0" xfId="0" applyFont="1"/>
    <xf numFmtId="0" fontId="7" fillId="6" borderId="11" xfId="0" applyFont="1" applyFill="1" applyBorder="1" applyAlignment="1">
      <alignment horizontal="left"/>
    </xf>
    <xf numFmtId="0" fontId="7" fillId="6" borderId="12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Z29"/>
  <sheetViews>
    <sheetView workbookViewId="0">
      <selection activeCell="J49" sqref="J49"/>
    </sheetView>
  </sheetViews>
  <sheetFormatPr baseColWidth="10" defaultRowHeight="17" x14ac:dyDescent="0"/>
  <cols>
    <col min="1" max="1" width="48" bestFit="1" customWidth="1"/>
    <col min="2" max="2" width="5.83203125" style="17" bestFit="1" customWidth="1"/>
    <col min="3" max="3" width="7.1640625" style="22" bestFit="1" customWidth="1"/>
    <col min="4" max="4" width="29.83203125" hidden="1" customWidth="1"/>
    <col min="5" max="5" width="34" hidden="1" customWidth="1"/>
    <col min="6" max="6" width="32.83203125" hidden="1" customWidth="1"/>
    <col min="7" max="7" width="4.1640625" hidden="1" customWidth="1"/>
    <col min="8" max="8" width="5.1640625" style="2" hidden="1" customWidth="1"/>
    <col min="10" max="10" width="48" bestFit="1" customWidth="1"/>
    <col min="11" max="11" width="5.83203125" bestFit="1" customWidth="1"/>
    <col min="12" max="12" width="7.1640625" bestFit="1" customWidth="1"/>
    <col min="13" max="13" width="28.83203125" hidden="1" customWidth="1"/>
    <col min="14" max="14" width="24" hidden="1" customWidth="1"/>
    <col min="15" max="15" width="38.5" hidden="1" customWidth="1"/>
    <col min="16" max="16" width="15.6640625" hidden="1" customWidth="1"/>
    <col min="17" max="17" width="0" hidden="1" customWidth="1"/>
    <col min="19" max="19" width="48" bestFit="1" customWidth="1"/>
    <col min="20" max="20" width="5.83203125" bestFit="1" customWidth="1"/>
    <col min="21" max="21" width="7.1640625" bestFit="1" customWidth="1"/>
    <col min="22" max="22" width="29.83203125" hidden="1" customWidth="1"/>
    <col min="23" max="23" width="34" hidden="1" customWidth="1"/>
    <col min="24" max="24" width="32.83203125" hidden="1" customWidth="1"/>
    <col min="25" max="25" width="11.1640625" hidden="1" customWidth="1"/>
    <col min="26" max="26" width="0" hidden="1" customWidth="1"/>
  </cols>
  <sheetData>
    <row r="1" spans="1:26" ht="24" thickBot="1">
      <c r="A1" s="47" t="s">
        <v>45</v>
      </c>
      <c r="B1" s="48"/>
      <c r="D1" t="s">
        <v>12</v>
      </c>
      <c r="E1" t="s">
        <v>14</v>
      </c>
      <c r="F1" t="s">
        <v>13</v>
      </c>
      <c r="H1"/>
      <c r="J1" s="51" t="s">
        <v>48</v>
      </c>
      <c r="K1" s="48"/>
      <c r="L1" s="22"/>
      <c r="M1" t="s">
        <v>12</v>
      </c>
      <c r="N1" t="s">
        <v>14</v>
      </c>
      <c r="O1" t="s">
        <v>13</v>
      </c>
      <c r="S1" s="47" t="s">
        <v>48</v>
      </c>
      <c r="T1" s="48"/>
      <c r="U1" s="22"/>
      <c r="V1" t="s">
        <v>12</v>
      </c>
      <c r="W1" t="s">
        <v>14</v>
      </c>
      <c r="X1" t="s">
        <v>13</v>
      </c>
    </row>
    <row r="2" spans="1:26" ht="21" thickBot="1">
      <c r="A2" s="15" t="s">
        <v>15</v>
      </c>
      <c r="B2" s="18">
        <v>1</v>
      </c>
      <c r="C2" s="22" t="s">
        <v>0</v>
      </c>
      <c r="D2">
        <f>B2*3</f>
        <v>3</v>
      </c>
      <c r="E2">
        <f>5-B2+5</f>
        <v>9</v>
      </c>
      <c r="F2">
        <f>E2*3</f>
        <v>27</v>
      </c>
      <c r="H2"/>
      <c r="J2" s="15" t="s">
        <v>15</v>
      </c>
      <c r="K2" s="18">
        <v>1</v>
      </c>
      <c r="L2" s="22" t="s">
        <v>0</v>
      </c>
      <c r="M2">
        <f>K2*3</f>
        <v>3</v>
      </c>
      <c r="N2">
        <f>5-K2+5</f>
        <v>9</v>
      </c>
      <c r="O2">
        <f>N2*3</f>
        <v>27</v>
      </c>
      <c r="S2" s="15" t="s">
        <v>15</v>
      </c>
      <c r="T2" s="18">
        <v>1</v>
      </c>
      <c r="U2" s="22" t="s">
        <v>0</v>
      </c>
      <c r="V2">
        <f>T2*3</f>
        <v>3</v>
      </c>
      <c r="W2">
        <f>5-T2+5</f>
        <v>9</v>
      </c>
      <c r="X2">
        <f>W2*3</f>
        <v>27</v>
      </c>
    </row>
    <row r="3" spans="1:26" ht="21" thickBot="1">
      <c r="A3" s="15" t="s">
        <v>16</v>
      </c>
      <c r="B3" s="19">
        <f>F2-D2</f>
        <v>24</v>
      </c>
      <c r="C3" s="22" t="s">
        <v>2</v>
      </c>
      <c r="D3" s="21">
        <f>5-B2+5-B2</f>
        <v>8</v>
      </c>
      <c r="H3"/>
      <c r="J3" s="15" t="s">
        <v>16</v>
      </c>
      <c r="K3" s="19">
        <f>O2-M2</f>
        <v>24</v>
      </c>
      <c r="L3" s="22" t="s">
        <v>2</v>
      </c>
      <c r="M3" s="21">
        <f>5-K2+5-K2</f>
        <v>8</v>
      </c>
      <c r="S3" s="15" t="s">
        <v>16</v>
      </c>
      <c r="T3" s="19">
        <f>X2-V2</f>
        <v>24</v>
      </c>
      <c r="U3" s="22" t="s">
        <v>2</v>
      </c>
      <c r="V3" s="21">
        <f>5-T2+5-T2</f>
        <v>8</v>
      </c>
    </row>
    <row r="4" spans="1:26" ht="21" thickBot="1">
      <c r="A4" s="15" t="s">
        <v>17</v>
      </c>
      <c r="B4" s="19">
        <f>(LOG(D3))*20</f>
        <v>18.061799739838872</v>
      </c>
      <c r="C4" s="22" t="s">
        <v>3</v>
      </c>
      <c r="D4">
        <f>B2/2</f>
        <v>0.5</v>
      </c>
      <c r="E4">
        <f>D4^2</f>
        <v>0.25</v>
      </c>
      <c r="F4">
        <f>3^2</f>
        <v>9</v>
      </c>
      <c r="G4">
        <f>SQRT(E4+F4)*2</f>
        <v>6.0827625302982193</v>
      </c>
      <c r="H4">
        <f>G4*3</f>
        <v>18.248287590894659</v>
      </c>
      <c r="J4" s="15" t="s">
        <v>17</v>
      </c>
      <c r="K4" s="19">
        <f>(LOG(M3))*20</f>
        <v>18.061799739838872</v>
      </c>
      <c r="L4" s="22" t="s">
        <v>3</v>
      </c>
      <c r="M4">
        <f>K2/2</f>
        <v>0.5</v>
      </c>
      <c r="N4">
        <f>M4^2</f>
        <v>0.25</v>
      </c>
      <c r="O4">
        <f>3^2</f>
        <v>9</v>
      </c>
      <c r="P4">
        <f>SQRT(N4+O4)*2</f>
        <v>6.0827625302982193</v>
      </c>
      <c r="Q4">
        <f>P4*3</f>
        <v>18.248287590894659</v>
      </c>
      <c r="S4" s="15" t="s">
        <v>17</v>
      </c>
      <c r="T4" s="19">
        <f>(LOG(V3))*20</f>
        <v>18.061799739838872</v>
      </c>
      <c r="U4" s="22" t="s">
        <v>3</v>
      </c>
      <c r="V4">
        <f>T2/2</f>
        <v>0.5</v>
      </c>
      <c r="W4">
        <f>V4^2</f>
        <v>0.25</v>
      </c>
      <c r="X4">
        <f>3^2</f>
        <v>9</v>
      </c>
      <c r="Y4">
        <f>SQRT(W4+X4)*2</f>
        <v>6.0827625302982193</v>
      </c>
      <c r="Z4">
        <f>Y4*3</f>
        <v>18.248287590894659</v>
      </c>
    </row>
    <row r="5" spans="1:26" ht="21" thickBot="1">
      <c r="A5" s="16" t="s">
        <v>18</v>
      </c>
      <c r="B5" s="19">
        <f>H4-D2</f>
        <v>15.248287590894659</v>
      </c>
      <c r="C5" s="22" t="s">
        <v>2</v>
      </c>
      <c r="D5">
        <f>G4-B2</f>
        <v>5.0827625302982193</v>
      </c>
      <c r="H5"/>
      <c r="J5" s="16" t="s">
        <v>18</v>
      </c>
      <c r="K5" s="19">
        <f>Q4-M2</f>
        <v>15.248287590894659</v>
      </c>
      <c r="L5" s="22" t="s">
        <v>2</v>
      </c>
      <c r="M5">
        <f>P4-K2</f>
        <v>5.0827625302982193</v>
      </c>
      <c r="S5" s="16" t="s">
        <v>18</v>
      </c>
      <c r="T5" s="19">
        <f>Z4-V2</f>
        <v>15.248287590894659</v>
      </c>
      <c r="U5" s="22" t="s">
        <v>2</v>
      </c>
      <c r="V5">
        <f>Y4-T2</f>
        <v>5.0827625302982193</v>
      </c>
    </row>
    <row r="6" spans="1:26" ht="21" thickBot="1">
      <c r="A6" s="16" t="s">
        <v>19</v>
      </c>
      <c r="B6" s="19">
        <f>(LOG10(D5))*20</f>
        <v>14.121996393580909</v>
      </c>
      <c r="C6" s="22" t="s">
        <v>3</v>
      </c>
      <c r="D6">
        <f>3/D4</f>
        <v>6</v>
      </c>
      <c r="E6">
        <f>DEGREES(ATAN(D6))</f>
        <v>80.537677791974389</v>
      </c>
      <c r="H6"/>
      <c r="J6" s="16" t="s">
        <v>19</v>
      </c>
      <c r="K6" s="19">
        <f>(LOG10(M5))*20</f>
        <v>14.121996393580909</v>
      </c>
      <c r="L6" s="22" t="s">
        <v>3</v>
      </c>
      <c r="M6">
        <f>3/M4</f>
        <v>6</v>
      </c>
      <c r="N6">
        <f>DEGREES(ATAN(M6))</f>
        <v>80.537677791974389</v>
      </c>
      <c r="S6" s="16" t="s">
        <v>19</v>
      </c>
      <c r="T6" s="19">
        <f>(LOG10(V5))*20</f>
        <v>14.121996393580909</v>
      </c>
      <c r="U6" s="22" t="s">
        <v>3</v>
      </c>
      <c r="V6">
        <f>3/V4</f>
        <v>6</v>
      </c>
      <c r="W6">
        <f>DEGREES(ATAN(V6))</f>
        <v>80.537677791974389</v>
      </c>
    </row>
    <row r="7" spans="1:26" ht="21" thickBot="1">
      <c r="A7" s="16" t="s">
        <v>39</v>
      </c>
      <c r="B7" s="20">
        <f>(64*E6)/90</f>
        <v>57.271237540959568</v>
      </c>
      <c r="C7" s="22" t="s">
        <v>1</v>
      </c>
      <c r="J7" s="32" t="s">
        <v>39</v>
      </c>
      <c r="K7" s="20">
        <f>(50*N6)/90</f>
        <v>44.74315432887466</v>
      </c>
      <c r="L7" s="22" t="s">
        <v>1</v>
      </c>
      <c r="Q7" s="2"/>
      <c r="S7" s="32" t="s">
        <v>39</v>
      </c>
      <c r="T7" s="20">
        <f>(100*W6)/90</f>
        <v>89.486308657749319</v>
      </c>
      <c r="U7" s="22" t="s">
        <v>1</v>
      </c>
      <c r="Z7" s="2"/>
    </row>
    <row r="8" spans="1:26" ht="20">
      <c r="A8" s="40" t="s">
        <v>43</v>
      </c>
      <c r="J8" s="40" t="s">
        <v>42</v>
      </c>
      <c r="K8" s="17"/>
      <c r="L8" s="22"/>
      <c r="Q8" s="2"/>
      <c r="S8" s="40" t="s">
        <v>44</v>
      </c>
      <c r="T8" s="17"/>
      <c r="U8" s="22"/>
      <c r="Z8" s="2"/>
    </row>
    <row r="12" spans="1:26" ht="24" thickBot="1">
      <c r="A12" s="49" t="s">
        <v>46</v>
      </c>
      <c r="B12" s="50"/>
      <c r="D12" t="s">
        <v>12</v>
      </c>
      <c r="E12" t="s">
        <v>14</v>
      </c>
      <c r="F12" t="s">
        <v>13</v>
      </c>
      <c r="H12"/>
      <c r="J12" s="49" t="s">
        <v>46</v>
      </c>
      <c r="K12" s="50"/>
      <c r="L12" s="22"/>
      <c r="M12" t="s">
        <v>12</v>
      </c>
      <c r="N12" t="s">
        <v>14</v>
      </c>
      <c r="O12" t="s">
        <v>13</v>
      </c>
      <c r="S12" s="49" t="s">
        <v>46</v>
      </c>
      <c r="T12" s="50"/>
      <c r="U12" s="22"/>
      <c r="V12" t="s">
        <v>12</v>
      </c>
      <c r="W12" t="s">
        <v>14</v>
      </c>
      <c r="X12" t="s">
        <v>13</v>
      </c>
    </row>
    <row r="13" spans="1:26" ht="21" thickBot="1">
      <c r="A13" s="15" t="s">
        <v>15</v>
      </c>
      <c r="B13" s="18">
        <v>1</v>
      </c>
      <c r="C13" s="22" t="s">
        <v>0</v>
      </c>
      <c r="D13">
        <f>B13*3</f>
        <v>3</v>
      </c>
      <c r="E13" s="21">
        <f>7.5-B13+7.5</f>
        <v>14</v>
      </c>
      <c r="F13">
        <f>E13*3</f>
        <v>42</v>
      </c>
      <c r="H13"/>
      <c r="J13" s="15" t="s">
        <v>15</v>
      </c>
      <c r="K13" s="18">
        <v>1</v>
      </c>
      <c r="L13" s="22" t="s">
        <v>0</v>
      </c>
      <c r="M13">
        <f>K13*3</f>
        <v>3</v>
      </c>
      <c r="N13" s="21">
        <f>7.5-K13+7.5</f>
        <v>14</v>
      </c>
      <c r="O13">
        <f>N13*3</f>
        <v>42</v>
      </c>
      <c r="S13" s="15" t="s">
        <v>15</v>
      </c>
      <c r="T13" s="18">
        <v>1</v>
      </c>
      <c r="U13" s="22" t="s">
        <v>0</v>
      </c>
      <c r="V13">
        <f>T13*3</f>
        <v>3</v>
      </c>
      <c r="W13" s="21">
        <f>7.5-T13+7.5</f>
        <v>14</v>
      </c>
      <c r="X13">
        <f>W13*3</f>
        <v>42</v>
      </c>
    </row>
    <row r="14" spans="1:26" ht="21" thickBot="1">
      <c r="A14" s="15" t="s">
        <v>20</v>
      </c>
      <c r="B14" s="19">
        <f>F13-D13</f>
        <v>39</v>
      </c>
      <c r="C14" s="22" t="s">
        <v>2</v>
      </c>
      <c r="D14" s="21">
        <f>7.5-B13+7.5-B13</f>
        <v>13</v>
      </c>
      <c r="H14"/>
      <c r="J14" s="15" t="s">
        <v>20</v>
      </c>
      <c r="K14" s="19">
        <f>O13-M13</f>
        <v>39</v>
      </c>
      <c r="L14" s="22" t="s">
        <v>2</v>
      </c>
      <c r="M14" s="21">
        <f>7.5-K13+7.5-K13</f>
        <v>13</v>
      </c>
      <c r="S14" s="15" t="s">
        <v>20</v>
      </c>
      <c r="T14" s="19">
        <f>X13-V13</f>
        <v>39</v>
      </c>
      <c r="U14" s="22" t="s">
        <v>2</v>
      </c>
      <c r="V14" s="21">
        <f>7.5-T13+7.5-T13</f>
        <v>13</v>
      </c>
    </row>
    <row r="15" spans="1:26" ht="21" thickBot="1">
      <c r="A15" s="15" t="s">
        <v>21</v>
      </c>
      <c r="B15" s="19">
        <f>(LOG(D14))*20</f>
        <v>22.278867046136735</v>
      </c>
      <c r="C15" s="22" t="s">
        <v>3</v>
      </c>
      <c r="D15">
        <f>B13/2</f>
        <v>0.5</v>
      </c>
      <c r="E15">
        <f>D15^2</f>
        <v>0.25</v>
      </c>
      <c r="F15">
        <f>3^2</f>
        <v>9</v>
      </c>
      <c r="G15">
        <f>SQRT(E15+F15)*2</f>
        <v>6.0827625302982193</v>
      </c>
      <c r="H15">
        <f>G15*3</f>
        <v>18.248287590894659</v>
      </c>
      <c r="J15" s="15" t="s">
        <v>21</v>
      </c>
      <c r="K15" s="19">
        <f>(LOG(M14))*20</f>
        <v>22.278867046136735</v>
      </c>
      <c r="L15" s="22" t="s">
        <v>3</v>
      </c>
      <c r="M15">
        <f>K13/2</f>
        <v>0.5</v>
      </c>
      <c r="N15">
        <f>M15^2</f>
        <v>0.25</v>
      </c>
      <c r="O15">
        <f>3^2</f>
        <v>9</v>
      </c>
      <c r="P15">
        <f>SQRT(N15+O15)*2</f>
        <v>6.0827625302982193</v>
      </c>
      <c r="Q15">
        <f>P15*3</f>
        <v>18.248287590894659</v>
      </c>
      <c r="S15" s="15" t="s">
        <v>21</v>
      </c>
      <c r="T15" s="19">
        <f>(LOG(V14))*20</f>
        <v>22.278867046136735</v>
      </c>
      <c r="U15" s="22" t="s">
        <v>3</v>
      </c>
      <c r="V15">
        <f>T13/2</f>
        <v>0.5</v>
      </c>
      <c r="W15">
        <f>V15^2</f>
        <v>0.25</v>
      </c>
      <c r="X15">
        <f>3^2</f>
        <v>9</v>
      </c>
      <c r="Y15">
        <f>SQRT(W15+X15)*2</f>
        <v>6.0827625302982193</v>
      </c>
      <c r="Z15">
        <f>Y15*3</f>
        <v>18.248287590894659</v>
      </c>
    </row>
    <row r="16" spans="1:26" ht="21" thickBot="1">
      <c r="A16" s="16" t="s">
        <v>18</v>
      </c>
      <c r="B16" s="19">
        <f>H15-D13</f>
        <v>15.248287590894659</v>
      </c>
      <c r="C16" s="22" t="s">
        <v>2</v>
      </c>
      <c r="D16">
        <f>G15-B13</f>
        <v>5.0827625302982193</v>
      </c>
      <c r="H16"/>
      <c r="J16" s="16" t="s">
        <v>18</v>
      </c>
      <c r="K16" s="19">
        <f>Q15-M13</f>
        <v>15.248287590894659</v>
      </c>
      <c r="L16" s="22" t="s">
        <v>2</v>
      </c>
      <c r="M16">
        <f>P15-K13</f>
        <v>5.0827625302982193</v>
      </c>
      <c r="S16" s="16" t="s">
        <v>18</v>
      </c>
      <c r="T16" s="19">
        <f>Z15-V13</f>
        <v>15.248287590894659</v>
      </c>
      <c r="U16" s="22" t="s">
        <v>2</v>
      </c>
      <c r="V16">
        <f>Y15-T13</f>
        <v>5.0827625302982193</v>
      </c>
    </row>
    <row r="17" spans="1:26" ht="21" thickBot="1">
      <c r="A17" s="16" t="s">
        <v>19</v>
      </c>
      <c r="B17" s="19">
        <f>LOG10(D16)*20</f>
        <v>14.121996393580909</v>
      </c>
      <c r="C17" s="22" t="s">
        <v>3</v>
      </c>
      <c r="D17">
        <f>3/D15</f>
        <v>6</v>
      </c>
      <c r="E17">
        <f>DEGREES(ATAN(D17))</f>
        <v>80.537677791974389</v>
      </c>
      <c r="H17"/>
      <c r="J17" s="16" t="s">
        <v>19</v>
      </c>
      <c r="K17" s="19">
        <f>LOG10(M16)*20</f>
        <v>14.121996393580909</v>
      </c>
      <c r="L17" s="22" t="s">
        <v>3</v>
      </c>
      <c r="M17">
        <f>3/M15</f>
        <v>6</v>
      </c>
      <c r="N17">
        <f>DEGREES(ATAN(M17))</f>
        <v>80.537677791974389</v>
      </c>
      <c r="S17" s="16" t="s">
        <v>19</v>
      </c>
      <c r="T17" s="19">
        <f>LOG10(V16)*20</f>
        <v>14.121996393580909</v>
      </c>
      <c r="U17" s="22" t="s">
        <v>3</v>
      </c>
      <c r="V17">
        <f>3/V15</f>
        <v>6</v>
      </c>
      <c r="W17">
        <f>DEGREES(ATAN(V17))</f>
        <v>80.537677791974389</v>
      </c>
    </row>
    <row r="18" spans="1:26" ht="21" thickBot="1">
      <c r="A18" s="16" t="s">
        <v>40</v>
      </c>
      <c r="B18" s="20">
        <f>(64*E17)/90</f>
        <v>57.271237540959568</v>
      </c>
      <c r="C18" s="22" t="s">
        <v>1</v>
      </c>
      <c r="J18" s="16" t="s">
        <v>40</v>
      </c>
      <c r="K18" s="20">
        <f>(50*N17)/90</f>
        <v>44.74315432887466</v>
      </c>
      <c r="L18" s="22" t="s">
        <v>1</v>
      </c>
      <c r="Q18" s="2"/>
      <c r="S18" s="16" t="s">
        <v>40</v>
      </c>
      <c r="T18" s="20">
        <f>(100*W17)/90</f>
        <v>89.486308657749319</v>
      </c>
      <c r="U18" s="22" t="s">
        <v>1</v>
      </c>
      <c r="Z18" s="2"/>
    </row>
    <row r="19" spans="1:26" ht="20">
      <c r="A19" s="41" t="s">
        <v>43</v>
      </c>
      <c r="J19" s="41" t="s">
        <v>42</v>
      </c>
      <c r="K19" s="17"/>
      <c r="L19" s="22"/>
      <c r="Q19" s="2"/>
      <c r="S19" s="41" t="s">
        <v>44</v>
      </c>
      <c r="T19" s="17"/>
      <c r="U19" s="22"/>
      <c r="Z19" s="2"/>
    </row>
    <row r="22" spans="1:26" ht="24" thickBot="1">
      <c r="A22" s="49" t="s">
        <v>47</v>
      </c>
      <c r="B22" s="50"/>
      <c r="D22" t="s">
        <v>12</v>
      </c>
      <c r="E22" t="s">
        <v>14</v>
      </c>
      <c r="F22" t="s">
        <v>13</v>
      </c>
      <c r="H22"/>
      <c r="J22" s="49" t="s">
        <v>47</v>
      </c>
      <c r="K22" s="50"/>
      <c r="L22" s="22"/>
      <c r="M22" t="s">
        <v>12</v>
      </c>
      <c r="N22" t="s">
        <v>14</v>
      </c>
      <c r="O22" t="s">
        <v>13</v>
      </c>
      <c r="S22" s="49" t="s">
        <v>51</v>
      </c>
      <c r="T22" s="50"/>
      <c r="U22" s="22"/>
      <c r="V22" t="s">
        <v>12</v>
      </c>
      <c r="W22" t="s">
        <v>14</v>
      </c>
      <c r="X22" t="s">
        <v>13</v>
      </c>
    </row>
    <row r="23" spans="1:26" ht="21" thickBot="1">
      <c r="A23" s="15" t="s">
        <v>15</v>
      </c>
      <c r="B23" s="18">
        <v>1</v>
      </c>
      <c r="C23" s="22" t="s">
        <v>0</v>
      </c>
      <c r="D23">
        <f>B23*3</f>
        <v>3</v>
      </c>
      <c r="E23" s="21">
        <f>10-B23+10</f>
        <v>19</v>
      </c>
      <c r="F23">
        <f>E23*3</f>
        <v>57</v>
      </c>
      <c r="H23"/>
      <c r="J23" s="15" t="s">
        <v>15</v>
      </c>
      <c r="K23" s="18">
        <v>1</v>
      </c>
      <c r="L23" s="22" t="s">
        <v>0</v>
      </c>
      <c r="M23">
        <f>K23*3</f>
        <v>3</v>
      </c>
      <c r="N23" s="21">
        <f>10-K23+10</f>
        <v>19</v>
      </c>
      <c r="O23">
        <f>N23*3</f>
        <v>57</v>
      </c>
      <c r="S23" s="15" t="s">
        <v>15</v>
      </c>
      <c r="T23" s="18">
        <v>1</v>
      </c>
      <c r="U23" s="22" t="s">
        <v>0</v>
      </c>
      <c r="V23">
        <f>T23*3</f>
        <v>3</v>
      </c>
      <c r="W23" s="21">
        <f>10-T23+10</f>
        <v>19</v>
      </c>
      <c r="X23">
        <f>W23*3</f>
        <v>57</v>
      </c>
    </row>
    <row r="24" spans="1:26" ht="21" thickBot="1">
      <c r="A24" s="15" t="s">
        <v>20</v>
      </c>
      <c r="B24" s="19">
        <f>F23-D23</f>
        <v>54</v>
      </c>
      <c r="C24" s="22" t="s">
        <v>2</v>
      </c>
      <c r="D24" s="21">
        <f>10-B23+10-B23</f>
        <v>18</v>
      </c>
      <c r="H24"/>
      <c r="J24" s="15" t="s">
        <v>20</v>
      </c>
      <c r="K24" s="19">
        <f>O23-M23</f>
        <v>54</v>
      </c>
      <c r="L24" s="22" t="s">
        <v>2</v>
      </c>
      <c r="M24" s="21">
        <f>10-K23+10-K23</f>
        <v>18</v>
      </c>
      <c r="S24" s="15" t="s">
        <v>20</v>
      </c>
      <c r="T24" s="19">
        <f>X23-V23</f>
        <v>54</v>
      </c>
      <c r="U24" s="22" t="s">
        <v>2</v>
      </c>
      <c r="V24" s="21">
        <f>10-T23+10-T23</f>
        <v>18</v>
      </c>
    </row>
    <row r="25" spans="1:26" ht="21" thickBot="1">
      <c r="A25" s="15" t="s">
        <v>21</v>
      </c>
      <c r="B25" s="19">
        <f>(LOG(D24))*20</f>
        <v>25.105450102066122</v>
      </c>
      <c r="C25" s="22" t="s">
        <v>3</v>
      </c>
      <c r="D25">
        <f>B23/2</f>
        <v>0.5</v>
      </c>
      <c r="E25">
        <f>D25^2</f>
        <v>0.25</v>
      </c>
      <c r="F25">
        <f>3^2</f>
        <v>9</v>
      </c>
      <c r="G25">
        <f>SQRT(E25+F25)*2</f>
        <v>6.0827625302982193</v>
      </c>
      <c r="H25">
        <f>G25*3</f>
        <v>18.248287590894659</v>
      </c>
      <c r="J25" s="15" t="s">
        <v>21</v>
      </c>
      <c r="K25" s="19">
        <f>(LOG(M24))*20</f>
        <v>25.105450102066122</v>
      </c>
      <c r="L25" s="22" t="s">
        <v>3</v>
      </c>
      <c r="M25">
        <f>K23/2</f>
        <v>0.5</v>
      </c>
      <c r="N25">
        <f>M25^2</f>
        <v>0.25</v>
      </c>
      <c r="O25">
        <f>3^2</f>
        <v>9</v>
      </c>
      <c r="P25">
        <f>SQRT(N25+O25)*2</f>
        <v>6.0827625302982193</v>
      </c>
      <c r="Q25">
        <f>P25*3</f>
        <v>18.248287590894659</v>
      </c>
      <c r="S25" s="15" t="s">
        <v>21</v>
      </c>
      <c r="T25" s="19">
        <f>(LOG(V24))*20</f>
        <v>25.105450102066122</v>
      </c>
      <c r="U25" s="22" t="s">
        <v>3</v>
      </c>
      <c r="V25">
        <f>T23/2</f>
        <v>0.5</v>
      </c>
      <c r="W25">
        <f>V25^2</f>
        <v>0.25</v>
      </c>
      <c r="X25">
        <f>3^2</f>
        <v>9</v>
      </c>
      <c r="Y25">
        <f>SQRT(W25+X25)*2</f>
        <v>6.0827625302982193</v>
      </c>
      <c r="Z25">
        <f>Y25*3</f>
        <v>18.248287590894659</v>
      </c>
    </row>
    <row r="26" spans="1:26" ht="21" thickBot="1">
      <c r="A26" s="16" t="s">
        <v>18</v>
      </c>
      <c r="B26" s="19">
        <f>H25-D23</f>
        <v>15.248287590894659</v>
      </c>
      <c r="C26" s="22" t="s">
        <v>2</v>
      </c>
      <c r="D26" s="21">
        <f>G25-B23</f>
        <v>5.0827625302982193</v>
      </c>
      <c r="H26"/>
      <c r="J26" s="16" t="s">
        <v>18</v>
      </c>
      <c r="K26" s="19">
        <f>Q25-M23</f>
        <v>15.248287590894659</v>
      </c>
      <c r="L26" s="22" t="s">
        <v>2</v>
      </c>
      <c r="M26" s="21">
        <f>P25-K23</f>
        <v>5.0827625302982193</v>
      </c>
      <c r="S26" s="16" t="s">
        <v>18</v>
      </c>
      <c r="T26" s="19">
        <f>Z25-V23</f>
        <v>15.248287590894659</v>
      </c>
      <c r="U26" s="22" t="s">
        <v>2</v>
      </c>
      <c r="V26" s="21">
        <f>Y25-T23</f>
        <v>5.0827625302982193</v>
      </c>
    </row>
    <row r="27" spans="1:26" ht="21" thickBot="1">
      <c r="A27" s="16" t="s">
        <v>19</v>
      </c>
      <c r="B27" s="19">
        <f>LOG10(D26)*20</f>
        <v>14.121996393580909</v>
      </c>
      <c r="C27" s="22" t="s">
        <v>3</v>
      </c>
      <c r="D27">
        <f>3/D25</f>
        <v>6</v>
      </c>
      <c r="E27">
        <f>DEGREES(ATAN(D27))</f>
        <v>80.537677791974389</v>
      </c>
      <c r="H27"/>
      <c r="J27" s="16" t="s">
        <v>19</v>
      </c>
      <c r="K27" s="19">
        <f>LOG10(M26)*20</f>
        <v>14.121996393580909</v>
      </c>
      <c r="L27" s="22" t="s">
        <v>3</v>
      </c>
      <c r="M27">
        <f>3/M25</f>
        <v>6</v>
      </c>
      <c r="N27">
        <f>DEGREES(ATAN(M27))</f>
        <v>80.537677791974389</v>
      </c>
      <c r="S27" s="16" t="s">
        <v>19</v>
      </c>
      <c r="T27" s="19">
        <f>LOG10(V26)*20</f>
        <v>14.121996393580909</v>
      </c>
      <c r="U27" s="22" t="s">
        <v>3</v>
      </c>
      <c r="V27">
        <f>3/V25</f>
        <v>6</v>
      </c>
      <c r="W27">
        <f>DEGREES(ATAN(V27))</f>
        <v>80.537677791974389</v>
      </c>
    </row>
    <row r="28" spans="1:26" ht="21" thickBot="1">
      <c r="A28" s="16" t="s">
        <v>41</v>
      </c>
      <c r="B28" s="20">
        <f>(64*E27)/90</f>
        <v>57.271237540959568</v>
      </c>
      <c r="C28" s="22" t="s">
        <v>1</v>
      </c>
      <c r="J28" s="16" t="s">
        <v>41</v>
      </c>
      <c r="K28" s="20">
        <f>(50*N27)/90</f>
        <v>44.74315432887466</v>
      </c>
      <c r="L28" s="22" t="s">
        <v>1</v>
      </c>
      <c r="Q28" s="2"/>
      <c r="S28" s="16" t="s">
        <v>41</v>
      </c>
      <c r="T28" s="20">
        <f>(100*W27)/90</f>
        <v>89.486308657749319</v>
      </c>
      <c r="U28" s="22" t="s">
        <v>1</v>
      </c>
      <c r="Z28" s="2"/>
    </row>
    <row r="29" spans="1:26" ht="20">
      <c r="A29" s="41" t="s">
        <v>43</v>
      </c>
      <c r="J29" s="41" t="s">
        <v>42</v>
      </c>
      <c r="K29" s="17"/>
      <c r="L29" s="22"/>
      <c r="Q29" s="2"/>
      <c r="S29" s="41" t="s">
        <v>44</v>
      </c>
      <c r="T29" s="17"/>
      <c r="U29" s="22"/>
      <c r="Z29" s="2"/>
    </row>
  </sheetData>
  <mergeCells count="9">
    <mergeCell ref="S1:T1"/>
    <mergeCell ref="S12:T12"/>
    <mergeCell ref="S22:T22"/>
    <mergeCell ref="A1:B1"/>
    <mergeCell ref="A22:B22"/>
    <mergeCell ref="A12:B12"/>
    <mergeCell ref="J1:K1"/>
    <mergeCell ref="J12:K12"/>
    <mergeCell ref="J22:K2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BD47"/>
  <sheetViews>
    <sheetView tabSelected="1" workbookViewId="0">
      <selection activeCell="AN24" sqref="AN24"/>
    </sheetView>
  </sheetViews>
  <sheetFormatPr baseColWidth="10" defaultRowHeight="15" x14ac:dyDescent="0"/>
  <cols>
    <col min="1" max="1" width="61.33203125" customWidth="1"/>
    <col min="2" max="2" width="5.83203125" style="1" bestFit="1" customWidth="1"/>
    <col min="3" max="8" width="10.83203125" hidden="1" customWidth="1"/>
    <col min="9" max="9" width="11.5" hidden="1" customWidth="1"/>
    <col min="10" max="10" width="17" hidden="1" customWidth="1"/>
    <col min="11" max="11" width="6.1640625" hidden="1" customWidth="1"/>
    <col min="12" max="12" width="12.1640625" hidden="1" customWidth="1"/>
    <col min="13" max="13" width="7.1640625" hidden="1" customWidth="1"/>
    <col min="14" max="14" width="10.83203125" hidden="1" customWidth="1"/>
    <col min="15" max="16" width="9.33203125" hidden="1" customWidth="1"/>
    <col min="17" max="18" width="10.83203125" hidden="1" customWidth="1"/>
    <col min="20" max="20" width="60.5" customWidth="1"/>
    <col min="21" max="21" width="5.83203125" customWidth="1"/>
    <col min="22" max="37" width="10.83203125" hidden="1" customWidth="1"/>
    <col min="39" max="39" width="60.83203125" customWidth="1"/>
    <col min="40" max="40" width="5.83203125" bestFit="1" customWidth="1"/>
    <col min="41" max="56" width="10.83203125" hidden="1" customWidth="1"/>
  </cols>
  <sheetData>
    <row r="1" spans="1:56" ht="24" thickBot="1">
      <c r="A1" s="52" t="s">
        <v>49</v>
      </c>
      <c r="B1" s="52"/>
      <c r="T1" s="52" t="s">
        <v>49</v>
      </c>
      <c r="U1" s="52"/>
      <c r="AM1" s="52" t="s">
        <v>49</v>
      </c>
      <c r="AN1" s="52"/>
    </row>
    <row r="2" spans="1:56" ht="20">
      <c r="A2" s="24" t="s">
        <v>22</v>
      </c>
      <c r="B2" s="29">
        <v>1</v>
      </c>
      <c r="C2">
        <f>ATAN(B3/B2)</f>
        <v>1.1071487177940904</v>
      </c>
      <c r="D2">
        <f>DEGREES(C2)</f>
        <v>63.43494882292201</v>
      </c>
      <c r="I2" s="2" t="s">
        <v>0</v>
      </c>
      <c r="T2" s="24" t="s">
        <v>22</v>
      </c>
      <c r="U2" s="29">
        <v>1</v>
      </c>
      <c r="V2">
        <f>ATAN(U3/U2)</f>
        <v>1.1071487177940904</v>
      </c>
      <c r="W2">
        <f>DEGREES(V2)</f>
        <v>63.43494882292201</v>
      </c>
      <c r="AB2" s="2" t="s">
        <v>0</v>
      </c>
      <c r="AM2" s="24" t="s">
        <v>22</v>
      </c>
      <c r="AN2" s="29">
        <v>1</v>
      </c>
      <c r="AO2">
        <f>ATAN(AN3/AN2)</f>
        <v>1.1071487177940904</v>
      </c>
      <c r="AP2">
        <f>DEGREES(AO2)</f>
        <v>63.43494882292201</v>
      </c>
      <c r="AU2" s="2" t="s">
        <v>0</v>
      </c>
    </row>
    <row r="3" spans="1:56" ht="21">
      <c r="A3" s="25" t="s">
        <v>23</v>
      </c>
      <c r="B3" s="30">
        <v>2</v>
      </c>
      <c r="I3" s="2" t="s">
        <v>0</v>
      </c>
      <c r="J3" s="12" t="s">
        <v>11</v>
      </c>
      <c r="K3" s="4" t="s">
        <v>8</v>
      </c>
      <c r="L3" s="4" t="s">
        <v>9</v>
      </c>
      <c r="M3" s="5" t="s">
        <v>10</v>
      </c>
      <c r="T3" s="25" t="s">
        <v>23</v>
      </c>
      <c r="U3" s="30">
        <v>2</v>
      </c>
      <c r="AB3" s="2" t="s">
        <v>0</v>
      </c>
      <c r="AC3" s="12" t="s">
        <v>11</v>
      </c>
      <c r="AD3" s="4" t="s">
        <v>8</v>
      </c>
      <c r="AE3" s="4" t="s">
        <v>9</v>
      </c>
      <c r="AF3" s="5" t="s">
        <v>10</v>
      </c>
      <c r="AM3" s="25" t="s">
        <v>23</v>
      </c>
      <c r="AN3" s="30">
        <v>2</v>
      </c>
      <c r="AU3" s="2" t="s">
        <v>0</v>
      </c>
      <c r="AV3" s="12" t="s">
        <v>11</v>
      </c>
      <c r="AW3" s="4" t="s">
        <v>8</v>
      </c>
      <c r="AX3" s="4" t="s">
        <v>9</v>
      </c>
      <c r="AY3" s="5" t="s">
        <v>10</v>
      </c>
    </row>
    <row r="4" spans="1:56" ht="20">
      <c r="A4" s="25" t="s">
        <v>24</v>
      </c>
      <c r="B4" s="30">
        <f>64*D2/90</f>
        <v>45.109296940744542</v>
      </c>
      <c r="C4">
        <f>SQRT(B3^2+B2^2)*3</f>
        <v>6.7082039324993694</v>
      </c>
      <c r="D4">
        <f>5-B2</f>
        <v>4</v>
      </c>
      <c r="E4">
        <v>5</v>
      </c>
      <c r="F4">
        <f>(D4*B3)/(E4+D4)</f>
        <v>0.88888888888888884</v>
      </c>
      <c r="G4">
        <f>B3-F4</f>
        <v>1.1111111111111112</v>
      </c>
      <c r="I4" s="2" t="s">
        <v>1</v>
      </c>
      <c r="J4" s="6" t="s">
        <v>4</v>
      </c>
      <c r="K4" s="23">
        <f>K12</f>
        <v>9</v>
      </c>
      <c r="L4" s="7">
        <f>L12</f>
        <v>-25</v>
      </c>
      <c r="M4" s="8">
        <f>L11</f>
        <v>16</v>
      </c>
      <c r="T4" s="25" t="s">
        <v>24</v>
      </c>
      <c r="U4" s="30">
        <f>50*W2/90</f>
        <v>35.241638234956667</v>
      </c>
      <c r="V4">
        <f>SQRT(U3^2+U2^2)*3</f>
        <v>6.7082039324993694</v>
      </c>
      <c r="W4">
        <f>5-U2</f>
        <v>4</v>
      </c>
      <c r="X4">
        <v>5</v>
      </c>
      <c r="Y4">
        <f>(W4*U3)/(X4+W4)</f>
        <v>0.88888888888888884</v>
      </c>
      <c r="Z4">
        <f>U3-Y4</f>
        <v>1.1111111111111112</v>
      </c>
      <c r="AB4" s="2" t="s">
        <v>1</v>
      </c>
      <c r="AC4" s="6" t="s">
        <v>4</v>
      </c>
      <c r="AD4" s="23">
        <f>AD12</f>
        <v>9</v>
      </c>
      <c r="AE4" s="7">
        <f>AE12</f>
        <v>-25</v>
      </c>
      <c r="AF4" s="8">
        <f>AE11</f>
        <v>16</v>
      </c>
      <c r="AM4" s="25" t="s">
        <v>24</v>
      </c>
      <c r="AN4" s="30">
        <f>100*AP2/90</f>
        <v>70.483276469913335</v>
      </c>
      <c r="AO4">
        <f>SQRT(AN3^2+AN2^2)*3</f>
        <v>6.7082039324993694</v>
      </c>
      <c r="AP4">
        <f>5-AN2</f>
        <v>4</v>
      </c>
      <c r="AQ4">
        <v>5</v>
      </c>
      <c r="AR4">
        <f>(AP4*AN3)/(AQ4+AP4)</f>
        <v>0.88888888888888884</v>
      </c>
      <c r="AS4">
        <f>AN3-AR4</f>
        <v>1.1111111111111112</v>
      </c>
      <c r="AU4" s="2" t="s">
        <v>1</v>
      </c>
      <c r="AV4" s="6" t="s">
        <v>4</v>
      </c>
      <c r="AW4" s="23">
        <f>AW12</f>
        <v>9</v>
      </c>
      <c r="AX4" s="7">
        <f>AX12</f>
        <v>-25</v>
      </c>
      <c r="AY4" s="8">
        <f>AX11</f>
        <v>16</v>
      </c>
    </row>
    <row r="5" spans="1:56" ht="20">
      <c r="A5" s="25" t="s">
        <v>25</v>
      </c>
      <c r="B5" s="30">
        <f>(G5*64)/90</f>
        <v>8.909374370952186</v>
      </c>
      <c r="C5">
        <f>SQRT(F4^2+D4^2)</f>
        <v>4.0975753143523947</v>
      </c>
      <c r="D5">
        <f>SQRT(G4^2+E4^2)</f>
        <v>5.1219691429404932</v>
      </c>
      <c r="E5">
        <f>SQRT(B3^2+B2^2)</f>
        <v>2.2360679774997898</v>
      </c>
      <c r="F5">
        <f>ATAN(G4/E4)</f>
        <v>0.21866894587394198</v>
      </c>
      <c r="G5">
        <f>DEGREES(F5)</f>
        <v>12.528807709151511</v>
      </c>
      <c r="I5" s="2" t="s">
        <v>1</v>
      </c>
      <c r="J5" s="9"/>
      <c r="K5" s="7"/>
      <c r="L5" s="7"/>
      <c r="M5" s="8"/>
      <c r="T5" s="25" t="s">
        <v>25</v>
      </c>
      <c r="U5" s="30">
        <f>(Z5*50)/90</f>
        <v>6.9604487273063951</v>
      </c>
      <c r="V5">
        <f>SQRT(Y4^2+W4^2)</f>
        <v>4.0975753143523947</v>
      </c>
      <c r="W5">
        <f>SQRT(Z4^2+X4^2)</f>
        <v>5.1219691429404932</v>
      </c>
      <c r="X5">
        <f>SQRT(U3^2+U2^2)</f>
        <v>2.2360679774997898</v>
      </c>
      <c r="Y5">
        <f>ATAN(Z4/X4)</f>
        <v>0.21866894587394198</v>
      </c>
      <c r="Z5">
        <f>DEGREES(Y5)</f>
        <v>12.528807709151511</v>
      </c>
      <c r="AB5" s="2" t="s">
        <v>1</v>
      </c>
      <c r="AC5" s="9" t="s">
        <v>5</v>
      </c>
      <c r="AD5" s="7"/>
      <c r="AE5" s="7"/>
      <c r="AF5" s="8"/>
      <c r="AM5" s="25" t="s">
        <v>25</v>
      </c>
      <c r="AN5" s="30">
        <f>(AS5*100)/90</f>
        <v>13.92089745461279</v>
      </c>
      <c r="AO5">
        <f>SQRT(AR4^2+AP4^2)</f>
        <v>4.0975753143523947</v>
      </c>
      <c r="AP5">
        <f>SQRT(AS4^2+AQ4^2)</f>
        <v>5.1219691429404932</v>
      </c>
      <c r="AQ5">
        <f>SQRT(AN3^2+AN2^2)</f>
        <v>2.2360679774997898</v>
      </c>
      <c r="AR5">
        <f>ATAN(AS4/AQ4)</f>
        <v>0.21866894587394198</v>
      </c>
      <c r="AS5">
        <f>DEGREES(AR5)</f>
        <v>12.528807709151511</v>
      </c>
      <c r="AU5" s="2" t="s">
        <v>1</v>
      </c>
      <c r="AV5" s="9" t="s">
        <v>5</v>
      </c>
      <c r="AW5" s="7"/>
      <c r="AX5" s="7"/>
      <c r="AY5" s="8"/>
    </row>
    <row r="6" spans="1:56" ht="20">
      <c r="A6" s="25" t="s">
        <v>16</v>
      </c>
      <c r="B6" s="30">
        <f>(C5+D5-E5)*3</f>
        <v>20.950429439379292</v>
      </c>
      <c r="I6" s="2" t="s">
        <v>2</v>
      </c>
      <c r="J6" s="13" t="s">
        <v>6</v>
      </c>
      <c r="K6" s="7">
        <f>(-L4+SQRT(L4^2-4*K4*M4))/(2*K4)</f>
        <v>1.7777777777777777</v>
      </c>
      <c r="L6" s="7" t="str">
        <f>IF(AND(K6&lt;&gt;J11, K6&lt;&gt;J9, K6&lt;&gt;K9, K6&lt;&gt;N9, K6&gt;N8), "CORRECTO", "INCORRECTO")</f>
        <v>CORRECTO</v>
      </c>
      <c r="M6" s="8"/>
      <c r="T6" s="25" t="s">
        <v>16</v>
      </c>
      <c r="U6" s="30">
        <f>(V5+W5-X5)*3</f>
        <v>20.950429439379292</v>
      </c>
      <c r="AB6" s="2" t="s">
        <v>2</v>
      </c>
      <c r="AC6" s="13" t="s">
        <v>6</v>
      </c>
      <c r="AD6" s="7">
        <f>(-AE4+SQRT(AE4^2-4*AD4*AF4))/(2*AD4)</f>
        <v>1.7777777777777777</v>
      </c>
      <c r="AE6" s="7" t="str">
        <f>IF(AND(AD6&lt;&gt;AC11, AD6&lt;&gt;AC9, AD6&lt;&gt;AD9, AD6&lt;&gt;AG9, AD6&gt;AG8), "CORRECTO", "INCORRECTO")</f>
        <v>CORRECTO</v>
      </c>
      <c r="AF6" s="8"/>
      <c r="AM6" s="25" t="s">
        <v>16</v>
      </c>
      <c r="AN6" s="30">
        <f>(AO5+AP5-AQ5)*3</f>
        <v>20.950429439379292</v>
      </c>
      <c r="AU6" s="2" t="s">
        <v>2</v>
      </c>
      <c r="AV6" s="13" t="s">
        <v>6</v>
      </c>
      <c r="AW6" s="7">
        <f>(-AX4+SQRT(AX4^2-4*AW4*AY4))/(2*AW4)</f>
        <v>1.7777777777777777</v>
      </c>
      <c r="AX6" s="7" t="str">
        <f>IF(AND(AW6&lt;&gt;AV11, AW6&lt;&gt;AV9, AW6&lt;&gt;AW9, AW6&lt;&gt;AZ9, AW6&gt;AZ8), "CORRECTO", "INCORRECTO")</f>
        <v>CORRECTO</v>
      </c>
      <c r="AY6" s="8"/>
    </row>
    <row r="7" spans="1:56" ht="20">
      <c r="A7" s="25" t="s">
        <v>21</v>
      </c>
      <c r="B7" s="30">
        <f>LOG10(C5+D5-E5)*20</f>
        <v>16.881433495797438</v>
      </c>
      <c r="C7">
        <f>3-B3</f>
        <v>1</v>
      </c>
      <c r="D7">
        <v>3</v>
      </c>
      <c r="E7">
        <f>(C7*B2)/(D7+B2)</f>
        <v>0.25</v>
      </c>
      <c r="F7">
        <f>B2-E7</f>
        <v>0.75</v>
      </c>
      <c r="G7">
        <f>SQRT(E7^2+C7^2)</f>
        <v>1.0307764064044151</v>
      </c>
      <c r="H7">
        <f>SQRT(F7^2+D7^2)</f>
        <v>3.0923292192132452</v>
      </c>
      <c r="I7" s="2" t="s">
        <v>3</v>
      </c>
      <c r="J7" s="14" t="s">
        <v>7</v>
      </c>
      <c r="K7" s="10">
        <f>(-L4-SQRT(L4^2-4*K4*M4))/(2*K4)</f>
        <v>1</v>
      </c>
      <c r="L7" s="10" t="str">
        <f>IF(AND(K7&lt;&gt;J11, K7&lt;&gt;J9, K7&lt;&gt;K9, K7&lt;&gt;N9, K7&gt;N8), "CORRECTO", "Incorrecto")</f>
        <v>Incorrecto</v>
      </c>
      <c r="M7" s="11"/>
      <c r="T7" s="25" t="s">
        <v>21</v>
      </c>
      <c r="U7" s="30">
        <f>LOG10(V5+W5-X5)*20</f>
        <v>16.881433495797438</v>
      </c>
      <c r="V7">
        <f>3-U3</f>
        <v>1</v>
      </c>
      <c r="W7">
        <v>3</v>
      </c>
      <c r="X7">
        <f>(V7*U2)/(W7+U2)</f>
        <v>0.25</v>
      </c>
      <c r="Y7">
        <f>U2-X7</f>
        <v>0.75</v>
      </c>
      <c r="Z7">
        <f>SQRT(X7^2+V7^2)</f>
        <v>1.0307764064044151</v>
      </c>
      <c r="AA7">
        <f>SQRT(Y7^2+W7^2)</f>
        <v>3.0923292192132452</v>
      </c>
      <c r="AB7" s="2" t="s">
        <v>3</v>
      </c>
      <c r="AC7" s="14" t="s">
        <v>7</v>
      </c>
      <c r="AD7" s="10">
        <f>(-AE4-SQRT(AE4^2-4*AD4*AF4))/(2*AD4)</f>
        <v>1</v>
      </c>
      <c r="AE7" s="10" t="str">
        <f>IF(AND(AD7&lt;&gt;AC11, AD7&lt;&gt;AC9, AD7&lt;&gt;AD9, AD7&lt;&gt;AG9, AD7&gt;AG8), "CORRECTO", "Incorrecto")</f>
        <v>Incorrecto</v>
      </c>
      <c r="AF7" s="11"/>
      <c r="AM7" s="25" t="s">
        <v>21</v>
      </c>
      <c r="AN7" s="30">
        <f>LOG10(AO5+AP5-AQ5)*20</f>
        <v>16.881433495797438</v>
      </c>
      <c r="AO7">
        <f>3-AN3</f>
        <v>1</v>
      </c>
      <c r="AP7">
        <v>3</v>
      </c>
      <c r="AQ7">
        <f>(AO7*AN2)/(AP7+AN2)</f>
        <v>0.25</v>
      </c>
      <c r="AR7">
        <f>AN2-AQ7</f>
        <v>0.75</v>
      </c>
      <c r="AS7">
        <f>SQRT(AQ7^2+AO7^2)</f>
        <v>1.0307764064044151</v>
      </c>
      <c r="AT7">
        <f>SQRT(AR7^2+AP7^2)</f>
        <v>3.0923292192132452</v>
      </c>
      <c r="AU7" s="2" t="s">
        <v>3</v>
      </c>
      <c r="AV7" s="14" t="s">
        <v>7</v>
      </c>
      <c r="AW7" s="10">
        <f>(-AX4-SQRT(AX4^2-4*AW4*AY4))/(2*AW4)</f>
        <v>1</v>
      </c>
      <c r="AX7" s="10" t="str">
        <f>IF(AND(AW7&lt;&gt;AV11, AW7&lt;&gt;AV9, AW7&lt;&gt;AW9, AW7&lt;&gt;AZ9, AW7&gt;AZ8), "CORRECTO", "Incorrecto")</f>
        <v>Incorrecto</v>
      </c>
      <c r="AY7" s="11"/>
    </row>
    <row r="8" spans="1:56" ht="20">
      <c r="A8" s="26" t="s">
        <v>26</v>
      </c>
      <c r="B8" s="30">
        <f>(64*E8)/90</f>
        <v>54.018671311696735</v>
      </c>
      <c r="C8">
        <f>3/F7</f>
        <v>4</v>
      </c>
      <c r="D8">
        <f>ATAN(C8)</f>
        <v>1.3258176636680326</v>
      </c>
      <c r="E8">
        <f>DEGREES(D8)</f>
        <v>75.963756532073532</v>
      </c>
      <c r="I8" s="2" t="s">
        <v>1</v>
      </c>
      <c r="N8" s="34">
        <f>0</f>
        <v>0</v>
      </c>
      <c r="T8" s="26" t="s">
        <v>26</v>
      </c>
      <c r="U8" s="30">
        <f>(50*X8)/90</f>
        <v>42.202086962263074</v>
      </c>
      <c r="V8">
        <f>3/Y7</f>
        <v>4</v>
      </c>
      <c r="W8">
        <f>ATAN(V8)</f>
        <v>1.3258176636680326</v>
      </c>
      <c r="X8">
        <f>DEGREES(W8)</f>
        <v>75.963756532073532</v>
      </c>
      <c r="AB8" s="2" t="s">
        <v>1</v>
      </c>
      <c r="AG8" s="34">
        <f>0</f>
        <v>0</v>
      </c>
      <c r="AM8" s="26" t="s">
        <v>26</v>
      </c>
      <c r="AN8" s="30">
        <f>(100*AQ8)/90</f>
        <v>84.404173924526148</v>
      </c>
      <c r="AO8">
        <f>3/AR7</f>
        <v>4</v>
      </c>
      <c r="AP8">
        <f>ATAN(AO8)</f>
        <v>1.3258176636680326</v>
      </c>
      <c r="AQ8">
        <f>DEGREES(AP8)</f>
        <v>75.963756532073532</v>
      </c>
      <c r="AU8" s="2" t="s">
        <v>1</v>
      </c>
      <c r="AZ8" s="34">
        <f>0</f>
        <v>0</v>
      </c>
    </row>
    <row r="9" spans="1:56" ht="20">
      <c r="A9" s="26" t="s">
        <v>27</v>
      </c>
      <c r="B9" s="30">
        <f>(G7+H7-E5)*3</f>
        <v>5.6611129443536123</v>
      </c>
      <c r="I9" s="2" t="s">
        <v>2</v>
      </c>
      <c r="J9" s="34">
        <v>3</v>
      </c>
      <c r="K9" s="34">
        <v>5</v>
      </c>
      <c r="L9" s="21">
        <f>3-B3</f>
        <v>1</v>
      </c>
      <c r="M9">
        <f>K9*L9</f>
        <v>5</v>
      </c>
      <c r="N9" s="35">
        <f>J9-B3</f>
        <v>1</v>
      </c>
      <c r="O9" s="36">
        <f>5-B2</f>
        <v>4</v>
      </c>
      <c r="P9" s="36">
        <f>3+B3</f>
        <v>5</v>
      </c>
      <c r="T9" s="26" t="s">
        <v>27</v>
      </c>
      <c r="U9" s="30">
        <f>(Z7+AA7-X5)*3</f>
        <v>5.6611129443536123</v>
      </c>
      <c r="AB9" s="2" t="s">
        <v>2</v>
      </c>
      <c r="AC9" s="34">
        <v>3</v>
      </c>
      <c r="AD9" s="34">
        <v>5</v>
      </c>
      <c r="AE9" s="21">
        <f>3-U3</f>
        <v>1</v>
      </c>
      <c r="AF9">
        <f>AD9*AE9</f>
        <v>5</v>
      </c>
      <c r="AG9" s="35">
        <f>AC9-U3</f>
        <v>1</v>
      </c>
      <c r="AH9" s="36">
        <f>5-U2</f>
        <v>4</v>
      </c>
      <c r="AI9" s="36">
        <f>3+U3</f>
        <v>5</v>
      </c>
      <c r="AM9" s="26" t="s">
        <v>27</v>
      </c>
      <c r="AN9" s="30">
        <f>(AS7+AT7-AQ5)*3</f>
        <v>5.6611129443536123</v>
      </c>
      <c r="AU9" s="2" t="s">
        <v>2</v>
      </c>
      <c r="AV9" s="34">
        <v>3</v>
      </c>
      <c r="AW9" s="34">
        <v>5</v>
      </c>
      <c r="AX9" s="21">
        <f>3-AN3</f>
        <v>1</v>
      </c>
      <c r="AY9">
        <f>AW9*AX9</f>
        <v>5</v>
      </c>
      <c r="AZ9" s="35">
        <f>AV9-AN3</f>
        <v>1</v>
      </c>
      <c r="BA9" s="36">
        <f>5-AN2</f>
        <v>4</v>
      </c>
      <c r="BB9" s="36">
        <f>3+AN3</f>
        <v>5</v>
      </c>
    </row>
    <row r="10" spans="1:56" ht="20">
      <c r="A10" s="26" t="s">
        <v>28</v>
      </c>
      <c r="B10" s="30">
        <f>LOG10(G7+H7-E5)*20</f>
        <v>5.5156112964278474</v>
      </c>
      <c r="I10" s="2" t="s">
        <v>3</v>
      </c>
      <c r="J10" s="21">
        <f>J9+L9</f>
        <v>4</v>
      </c>
      <c r="K10">
        <f>(M9-K9)/J10</f>
        <v>0</v>
      </c>
      <c r="O10">
        <f>K9*P9</f>
        <v>25</v>
      </c>
      <c r="P10">
        <f>O9*J9</f>
        <v>12</v>
      </c>
      <c r="Q10">
        <f>O10-P10</f>
        <v>13</v>
      </c>
      <c r="T10" s="26" t="s">
        <v>28</v>
      </c>
      <c r="U10" s="30">
        <f>LOG10(Z7+AA7-X5)*20</f>
        <v>5.5156112964278474</v>
      </c>
      <c r="AB10" s="2" t="s">
        <v>3</v>
      </c>
      <c r="AC10" s="21">
        <f>AC9+AE9</f>
        <v>4</v>
      </c>
      <c r="AD10">
        <f>(AF9-AD9)/AC10</f>
        <v>0</v>
      </c>
      <c r="AH10">
        <f>AD9*AI9</f>
        <v>25</v>
      </c>
      <c r="AI10">
        <f>AH9*AC9</f>
        <v>12</v>
      </c>
      <c r="AJ10">
        <f>AH10-AI10</f>
        <v>13</v>
      </c>
      <c r="AM10" s="26" t="s">
        <v>28</v>
      </c>
      <c r="AN10" s="30">
        <f>LOG10(AS7+AT7-AQ5)*20</f>
        <v>5.5156112964278474</v>
      </c>
      <c r="AU10" s="2" t="s">
        <v>3</v>
      </c>
      <c r="AV10" s="21">
        <f>AV9+AX9</f>
        <v>4</v>
      </c>
      <c r="AW10">
        <f>(AY9-AW9)/AV10</f>
        <v>0</v>
      </c>
      <c r="BA10">
        <f>AW9*BB9</f>
        <v>25</v>
      </c>
      <c r="BB10">
        <f>BA9*AV9</f>
        <v>12</v>
      </c>
      <c r="BC10">
        <f>BA10-BB10</f>
        <v>13</v>
      </c>
    </row>
    <row r="11" spans="1:56" ht="20">
      <c r="A11" s="26" t="s">
        <v>29</v>
      </c>
      <c r="B11" s="30">
        <f>(E12*64)/90</f>
        <v>58.933321707447611</v>
      </c>
      <c r="C11">
        <f>3+B3</f>
        <v>5</v>
      </c>
      <c r="E11">
        <f>(C11*B2)/(D7+C11)</f>
        <v>0.625</v>
      </c>
      <c r="F11">
        <f>B2-E11</f>
        <v>0.375</v>
      </c>
      <c r="G11">
        <f>SQRT(C11^2+E11^2)</f>
        <v>5.0389110926865932</v>
      </c>
      <c r="H11">
        <f>SQRT(D7^2+F11^2)</f>
        <v>3.0233466556119559</v>
      </c>
      <c r="I11" s="2" t="s">
        <v>1</v>
      </c>
      <c r="J11" s="35">
        <f>5-B2</f>
        <v>4</v>
      </c>
      <c r="K11">
        <f>L9*J11</f>
        <v>4</v>
      </c>
      <c r="L11">
        <f>K11*J10</f>
        <v>16</v>
      </c>
      <c r="M11">
        <f>J11*J10</f>
        <v>16</v>
      </c>
      <c r="O11" s="21">
        <f>P9+J9</f>
        <v>8</v>
      </c>
      <c r="P11" s="21">
        <f>O11-Q10</f>
        <v>-5</v>
      </c>
      <c r="Q11">
        <f>Q10/O11</f>
        <v>1.625</v>
      </c>
      <c r="T11" s="26" t="s">
        <v>29</v>
      </c>
      <c r="U11" s="30">
        <f>(X12*50)/90</f>
        <v>46.041657583943447</v>
      </c>
      <c r="V11">
        <f>3+U3</f>
        <v>5</v>
      </c>
      <c r="X11">
        <f>(V11*U2)/(W7+V11)</f>
        <v>0.625</v>
      </c>
      <c r="Y11">
        <f>U2-X11</f>
        <v>0.375</v>
      </c>
      <c r="Z11">
        <f>SQRT(V11^2+X11^2)</f>
        <v>5.0389110926865932</v>
      </c>
      <c r="AA11">
        <f>SQRT(W7^2+Y11^2)</f>
        <v>3.0233466556119559</v>
      </c>
      <c r="AB11" s="2" t="s">
        <v>1</v>
      </c>
      <c r="AC11" s="35">
        <f>5-U2</f>
        <v>4</v>
      </c>
      <c r="AD11">
        <f>AE9*AC11</f>
        <v>4</v>
      </c>
      <c r="AE11">
        <f>AD11*AC10</f>
        <v>16</v>
      </c>
      <c r="AF11">
        <f>AC11*AC10</f>
        <v>16</v>
      </c>
      <c r="AH11" s="21">
        <f>AI9+AC9</f>
        <v>8</v>
      </c>
      <c r="AI11" s="21">
        <f>AH11-AJ10</f>
        <v>-5</v>
      </c>
      <c r="AJ11">
        <f>AJ10/AH11</f>
        <v>1.625</v>
      </c>
      <c r="AM11" s="26" t="s">
        <v>29</v>
      </c>
      <c r="AN11" s="30">
        <f>(AQ12*100)/90</f>
        <v>92.083315167886894</v>
      </c>
      <c r="AO11">
        <f>3+AN3</f>
        <v>5</v>
      </c>
      <c r="AQ11">
        <f>(AO11*AN2)/(AP7+AO11)</f>
        <v>0.625</v>
      </c>
      <c r="AR11">
        <f>AN2-AQ11</f>
        <v>0.375</v>
      </c>
      <c r="AS11">
        <f>SQRT(AO11^2+AQ11^2)</f>
        <v>5.0389110926865932</v>
      </c>
      <c r="AT11">
        <f>SQRT(AP7^2+AR11^2)</f>
        <v>3.0233466556119559</v>
      </c>
      <c r="AU11" s="2" t="s">
        <v>1</v>
      </c>
      <c r="AV11" s="35">
        <f>5-AN2</f>
        <v>4</v>
      </c>
      <c r="AW11">
        <f>AX9*AV11</f>
        <v>4</v>
      </c>
      <c r="AX11">
        <f>AW11*AV10</f>
        <v>16</v>
      </c>
      <c r="AY11">
        <f>AV11*AV10</f>
        <v>16</v>
      </c>
      <c r="BA11" s="21">
        <f>BB9+AV9</f>
        <v>8</v>
      </c>
      <c r="BB11" s="21">
        <f>BA11-BC10</f>
        <v>-5</v>
      </c>
      <c r="BC11">
        <f>BC10/BA11</f>
        <v>1.625</v>
      </c>
    </row>
    <row r="12" spans="1:56" ht="20">
      <c r="A12" s="26" t="s">
        <v>30</v>
      </c>
      <c r="B12" s="30">
        <f>(G11+H11-E5)*3</f>
        <v>17.478569312396278</v>
      </c>
      <c r="C12">
        <f>3/F11</f>
        <v>8</v>
      </c>
      <c r="D12">
        <f>ATAN(C12)</f>
        <v>1.4464413322481351</v>
      </c>
      <c r="E12">
        <f>DEGREES(D12)</f>
        <v>82.874983651098205</v>
      </c>
      <c r="I12" s="2" t="s">
        <v>2</v>
      </c>
      <c r="J12">
        <f>M11+M9+K11</f>
        <v>25</v>
      </c>
      <c r="K12" s="21">
        <f>J11+K9</f>
        <v>9</v>
      </c>
      <c r="L12">
        <f>-J12</f>
        <v>-25</v>
      </c>
      <c r="O12">
        <f>IF(AND(Q11&lt;&gt;J11,Q11&lt;&gt;J9,Q11&lt;&gt;K9,Q11&lt;&gt;N9,Q11&gt;N8),((P9*Q11)/(O9+Q11)),((P11*Q11)/(O9+Q11)))</f>
        <v>1.4444444444444444</v>
      </c>
      <c r="T12" s="26" t="s">
        <v>30</v>
      </c>
      <c r="U12" s="30">
        <f>(Z11+AA11-X5)*3</f>
        <v>17.478569312396278</v>
      </c>
      <c r="V12">
        <f>3/Y11</f>
        <v>8</v>
      </c>
      <c r="W12">
        <f>ATAN(V12)</f>
        <v>1.4464413322481351</v>
      </c>
      <c r="X12">
        <f>DEGREES(W12)</f>
        <v>82.874983651098205</v>
      </c>
      <c r="AB12" s="2" t="s">
        <v>2</v>
      </c>
      <c r="AC12">
        <f>AF11+AF9+AD11</f>
        <v>25</v>
      </c>
      <c r="AD12" s="21">
        <f>AC11+AD9</f>
        <v>9</v>
      </c>
      <c r="AE12">
        <f>-AC12</f>
        <v>-25</v>
      </c>
      <c r="AH12">
        <f>IF(AND(AJ11&lt;&gt;AC11,AJ11&lt;&gt;AC9,AJ11&lt;&gt;AD9,AJ11&lt;&gt;AG9,AJ11&gt;AG8),((AI9*AJ11)/(AH9+AJ11)),((AI11*AJ11)/(AH9+AJ11)))</f>
        <v>1.4444444444444444</v>
      </c>
      <c r="AM12" s="26" t="s">
        <v>30</v>
      </c>
      <c r="AN12" s="30">
        <f>(AS11+AT11-AQ5)*3</f>
        <v>17.478569312396278</v>
      </c>
      <c r="AO12">
        <f>3/AR11</f>
        <v>8</v>
      </c>
      <c r="AP12">
        <f>ATAN(AO12)</f>
        <v>1.4464413322481351</v>
      </c>
      <c r="AQ12">
        <f>DEGREES(AP12)</f>
        <v>82.874983651098205</v>
      </c>
      <c r="AU12" s="2" t="s">
        <v>2</v>
      </c>
      <c r="AV12">
        <f>AY11+AY9+AW11</f>
        <v>25</v>
      </c>
      <c r="AW12" s="21">
        <f>AV11+AW9</f>
        <v>9</v>
      </c>
      <c r="AX12">
        <f>-AV12</f>
        <v>-25</v>
      </c>
      <c r="BA12">
        <f>IF(AND(BC11&lt;&gt;AV11,BC11&lt;&gt;AV9,BC11&lt;&gt;AW9,BC11&lt;&gt;AZ9,BC11&gt;AZ8),((BB9*BC11)/(BA9+BC11)),((BB11*BC11)/(BA9+BC11)))</f>
        <v>1.4444444444444444</v>
      </c>
    </row>
    <row r="13" spans="1:56" ht="20">
      <c r="A13" s="26" t="s">
        <v>31</v>
      </c>
      <c r="B13" s="30">
        <f>LOG10(G11+H11-E5)*20</f>
        <v>15.307692527454934</v>
      </c>
      <c r="I13" s="2" t="s">
        <v>3</v>
      </c>
      <c r="J13" s="34">
        <f>IF(AND(K7&lt;&gt;J11,K7&lt;&gt;J9,K7&lt;&gt;K9,K7&lt;&gt;N9,K7&gt;N8),(M9-K9*K7)/(J10-K7),(M9-K9*K6)/(J10-K6))</f>
        <v>-1.75</v>
      </c>
      <c r="K13" s="21"/>
      <c r="O13" s="21">
        <f>O9^2</f>
        <v>16</v>
      </c>
      <c r="P13" s="21">
        <f>(P9-O12)^2</f>
        <v>12.641975308641975</v>
      </c>
      <c r="Q13" s="37">
        <f>SQRT(O13+P13)</f>
        <v>5.3518198127965757</v>
      </c>
      <c r="T13" s="26" t="s">
        <v>31</v>
      </c>
      <c r="U13" s="30">
        <f>LOG10(Z11+AA11-X5)*20</f>
        <v>15.307692527454934</v>
      </c>
      <c r="AB13" s="2" t="s">
        <v>3</v>
      </c>
      <c r="AC13" s="34">
        <f>IF(AND(AD7&lt;&gt;AC11,AD7&lt;&gt;AC9,AD7&lt;&gt;AD9,AD7&lt;&gt;AG9,AD7&gt;AG8),(AF9-AD9*AD7)/(AC10-AD7),(AF9-AD9*AD6)/(AC10-AD6))</f>
        <v>-1.75</v>
      </c>
      <c r="AD13" s="21"/>
      <c r="AH13" s="21">
        <f>AH9^2</f>
        <v>16</v>
      </c>
      <c r="AI13" s="21">
        <f>(AI9-AH12)^2</f>
        <v>12.641975308641975</v>
      </c>
      <c r="AJ13" s="37">
        <f>SQRT(AH13+AI13)</f>
        <v>5.3518198127965757</v>
      </c>
      <c r="AM13" s="26" t="s">
        <v>31</v>
      </c>
      <c r="AN13" s="30">
        <f>LOG10(AS11+AT11-AQ5)*20</f>
        <v>15.307692527454934</v>
      </c>
      <c r="AU13" s="2" t="s">
        <v>3</v>
      </c>
      <c r="AV13" s="34">
        <f>IF(AND(AW7&lt;&gt;AV11,AW7&lt;&gt;AV9,AW7&lt;&gt;AW9,AW7&lt;&gt;AZ9,AW7&gt;AZ8),(AY9-AW9*AW7)/(AV10-AW7),(AY9-AW9*AW6)/(AV10-AW6))</f>
        <v>-1.75</v>
      </c>
      <c r="AW13" s="21"/>
      <c r="BA13" s="21">
        <f>BA9^2</f>
        <v>16</v>
      </c>
      <c r="BB13" s="21">
        <f>(BB9-BA12)^2</f>
        <v>12.641975308641975</v>
      </c>
      <c r="BC13" s="37">
        <f>SQRT(BA13+BB13)</f>
        <v>5.3518198127965757</v>
      </c>
    </row>
    <row r="14" spans="1:56" ht="20">
      <c r="A14" s="27" t="s">
        <v>32</v>
      </c>
      <c r="B14" s="33">
        <f>64*L17/90</f>
        <v>17.039992159700041</v>
      </c>
      <c r="C14">
        <f>3+B3</f>
        <v>5</v>
      </c>
      <c r="E14">
        <f>(C14*B2)/(D7+C14)</f>
        <v>0.625</v>
      </c>
      <c r="F14">
        <f>B2-E14</f>
        <v>0.375</v>
      </c>
      <c r="G14">
        <f>SQRT(C14^2+E14^2)</f>
        <v>5.0389110926865932</v>
      </c>
      <c r="H14">
        <f>SQRT(D7^2+F14^2)</f>
        <v>3.0233466556119559</v>
      </c>
      <c r="I14" s="2" t="s">
        <v>1</v>
      </c>
      <c r="J14" s="34">
        <f>IF(AND(K7&lt;&gt;J11,K7&lt;&gt;J9,K7&lt;&gt;K9,K7&lt;&gt;N9,K7&gt;N8),(J11^2+K7^2),(J11^2+K6^2))</f>
        <v>19.160493827160494</v>
      </c>
      <c r="K14" s="21">
        <f>SQRT(J14)</f>
        <v>4.377270134131602</v>
      </c>
      <c r="O14">
        <f>O12^2</f>
        <v>2.0864197530864197</v>
      </c>
      <c r="P14">
        <f>IF(AND(Q11&lt;&gt;J11,Q11&lt;&gt;J9,Q11&lt;&gt;K9,Q11&lt;&gt;N9,Q11&gt;N8),(Q11^2),(P11^2))</f>
        <v>2.640625</v>
      </c>
      <c r="Q14">
        <f>SQRT(O14+P14)</f>
        <v>2.1741767989486087</v>
      </c>
      <c r="T14" s="27" t="s">
        <v>32</v>
      </c>
      <c r="U14" s="33">
        <f>50*AE17/90</f>
        <v>13.312493874765657</v>
      </c>
      <c r="V14">
        <f>3+U3</f>
        <v>5</v>
      </c>
      <c r="X14">
        <f>(V14*U2)/(W7+V14)</f>
        <v>0.625</v>
      </c>
      <c r="Y14">
        <f>U2-X14</f>
        <v>0.375</v>
      </c>
      <c r="Z14">
        <f>SQRT(V14^2+X14^2)</f>
        <v>5.0389110926865932</v>
      </c>
      <c r="AA14">
        <f>SQRT(W7^2+Y14^2)</f>
        <v>3.0233466556119559</v>
      </c>
      <c r="AB14" s="2" t="s">
        <v>1</v>
      </c>
      <c r="AC14" s="34">
        <f>IF(AND(AD7&lt;&gt;AC11,AD7&lt;&gt;AC9,AD7&lt;&gt;AD9,AD7&lt;&gt;AG9,AD7&gt;AG8),(AC11^2+AD7^2),(AC11^2+AD6^2))</f>
        <v>19.160493827160494</v>
      </c>
      <c r="AD14" s="21">
        <f>SQRT(AC14)</f>
        <v>4.377270134131602</v>
      </c>
      <c r="AH14">
        <f>AH12^2</f>
        <v>2.0864197530864197</v>
      </c>
      <c r="AI14">
        <f>IF(AND(AJ11&lt;&gt;AC11,AJ11&lt;&gt;AC9,AJ11&lt;&gt;AD9,AJ11&lt;&gt;AG9,AJ11&gt;AG8),(AJ11^2),(AI11^2))</f>
        <v>2.640625</v>
      </c>
      <c r="AJ14">
        <f>SQRT(AH14+AI14)</f>
        <v>2.1741767989486087</v>
      </c>
      <c r="AM14" s="27" t="s">
        <v>32</v>
      </c>
      <c r="AN14" s="33">
        <f>100*AX17/90</f>
        <v>26.624987749531314</v>
      </c>
      <c r="AO14">
        <f>3+AN3</f>
        <v>5</v>
      </c>
      <c r="AQ14">
        <f>(AO14*AN2)/(AP7+AO14)</f>
        <v>0.625</v>
      </c>
      <c r="AR14">
        <f>AN2-AQ14</f>
        <v>0.375</v>
      </c>
      <c r="AS14">
        <f>SQRT(AO14^2+AQ14^2)</f>
        <v>5.0389110926865932</v>
      </c>
      <c r="AT14">
        <f>SQRT(AP7^2+AR14^2)</f>
        <v>3.0233466556119559</v>
      </c>
      <c r="AU14" s="2" t="s">
        <v>1</v>
      </c>
      <c r="AV14" s="34">
        <f>IF(AND(AW7&lt;&gt;AV11,AW7&lt;&gt;AV9,AW7&lt;&gt;AW9,AW7&lt;&gt;AZ9,AW7&gt;AZ8),(AV11^2+AW7^2),(AV11^2+AW6^2))</f>
        <v>19.160493827160494</v>
      </c>
      <c r="AW14" s="21">
        <f>SQRT(AV14)</f>
        <v>4.377270134131602</v>
      </c>
      <c r="BA14">
        <f>BA12^2</f>
        <v>2.0864197530864197</v>
      </c>
      <c r="BB14">
        <f>IF(AND(BC11&lt;&gt;AV11,BC11&lt;&gt;AV9,BC11&lt;&gt;AW9,BC11&lt;&gt;AZ9,BC11&gt;AZ8),(BC11^2),(BB11^2))</f>
        <v>2.640625</v>
      </c>
      <c r="BC14">
        <f>SQRT(BA14+BB14)</f>
        <v>2.1741767989486087</v>
      </c>
    </row>
    <row r="15" spans="1:56" ht="20">
      <c r="A15" s="27" t="s">
        <v>33</v>
      </c>
      <c r="B15" s="33">
        <f>M16-C4</f>
        <v>34.328703574984402</v>
      </c>
      <c r="C15">
        <f>ATAN(C14/F14)</f>
        <v>1.4959364790841299</v>
      </c>
      <c r="D15">
        <f>DEGREES(C15)</f>
        <v>85.710846671180988</v>
      </c>
      <c r="I15" s="2" t="s">
        <v>2</v>
      </c>
      <c r="J15">
        <f>IF(AND(K7&lt;&gt;J11,K7&lt;&gt;J9,K7&lt;&gt;K9,K7&lt;&gt;N9,K7&gt;N8),(L9-K7),(L9-K6))</f>
        <v>-0.77777777777777768</v>
      </c>
      <c r="K15">
        <f>SQRT(J15^2+J13^2)</f>
        <v>1.9150556836825758</v>
      </c>
      <c r="O15">
        <f>IF(AND(Q11&lt;&gt;J11,Q11&lt;&gt;J9,Q11&lt;&gt;K9,Q11&lt;&gt;N9,Q11&gt;N8),(5-Q11),(5-P11))</f>
        <v>3.375</v>
      </c>
      <c r="P15">
        <f>O15^2</f>
        <v>11.390625</v>
      </c>
      <c r="Q15">
        <f>J9^2</f>
        <v>9</v>
      </c>
      <c r="R15">
        <f>SQRT(P15+Q15)</f>
        <v>4.5155979670471105</v>
      </c>
      <c r="T15" s="27" t="s">
        <v>33</v>
      </c>
      <c r="U15" s="33">
        <f>AF16-V4</f>
        <v>34.328703574984402</v>
      </c>
      <c r="V15">
        <f>ATAN(V14/Y14)</f>
        <v>1.4959364790841299</v>
      </c>
      <c r="W15">
        <f>DEGREES(V15)</f>
        <v>85.710846671180988</v>
      </c>
      <c r="AB15" s="2" t="s">
        <v>2</v>
      </c>
      <c r="AC15">
        <f>IF(AND(AD7&lt;&gt;AC11,AD7&lt;&gt;AC9,AD7&lt;&gt;AD9,AD7&lt;&gt;AG9,AD7&gt;AG8),(AE9-AD7),(AE9-AD6))</f>
        <v>-0.77777777777777768</v>
      </c>
      <c r="AD15">
        <f>SQRT(AC15^2+AC13^2)</f>
        <v>1.9150556836825758</v>
      </c>
      <c r="AH15">
        <f>IF(AND(AJ11&lt;&gt;AC11,AJ11&lt;&gt;AC9,AJ11&lt;&gt;AD9,AJ11&lt;&gt;AG9,AJ11&gt;AG8),(5-AJ11),(5-AI11))</f>
        <v>3.375</v>
      </c>
      <c r="AI15">
        <f>AH15^2</f>
        <v>11.390625</v>
      </c>
      <c r="AJ15">
        <f>AC9^2</f>
        <v>9</v>
      </c>
      <c r="AK15">
        <f>SQRT(AI15+AJ15)</f>
        <v>4.5155979670471105</v>
      </c>
      <c r="AM15" s="27" t="s">
        <v>33</v>
      </c>
      <c r="AN15" s="33">
        <f>AY16-AO4</f>
        <v>34.328703574984402</v>
      </c>
      <c r="AO15">
        <f>ATAN(AO14/AR14)</f>
        <v>1.4959364790841299</v>
      </c>
      <c r="AP15">
        <f>DEGREES(AO15)</f>
        <v>85.710846671180988</v>
      </c>
      <c r="AU15" s="2" t="s">
        <v>2</v>
      </c>
      <c r="AV15">
        <f>IF(AND(AW7&lt;&gt;AV11,AW7&lt;&gt;AV9,AW7&lt;&gt;AW9,AW7&lt;&gt;AZ9,AW7&gt;AZ8),(AX9-AW7),(AX9-AW6))</f>
        <v>-0.77777777777777768</v>
      </c>
      <c r="AW15">
        <f>SQRT(AV15^2+AV13^2)</f>
        <v>1.9150556836825758</v>
      </c>
      <c r="BA15">
        <f>IF(AND(BC11&lt;&gt;AV11,BC11&lt;&gt;AV9,BC11&lt;&gt;AW9,BC11&lt;&gt;AZ9,BC11&gt;AZ8),(5-BC11),(5-BB11))</f>
        <v>3.375</v>
      </c>
      <c r="BB15">
        <f>BA15^2</f>
        <v>11.390625</v>
      </c>
      <c r="BC15">
        <f>AV9^2</f>
        <v>9</v>
      </c>
      <c r="BD15">
        <f>SQRT(BB15+BC15)</f>
        <v>4.5155979670471105</v>
      </c>
    </row>
    <row r="16" spans="1:56" ht="20">
      <c r="A16" s="27" t="s">
        <v>34</v>
      </c>
      <c r="B16" s="33">
        <f>LOG10(L16-E5)*20</f>
        <v>21.170722957307436</v>
      </c>
      <c r="I16" s="2" t="s">
        <v>3</v>
      </c>
      <c r="J16">
        <f>K9-J13</f>
        <v>6.75</v>
      </c>
      <c r="K16">
        <f>SQRT(J16^2+J9^2)</f>
        <v>7.3866433513470788</v>
      </c>
      <c r="L16" s="21">
        <f>K14+K15+K16</f>
        <v>13.678969169161256</v>
      </c>
      <c r="M16">
        <f>L16*3</f>
        <v>41.036907507483768</v>
      </c>
      <c r="O16">
        <f>Q13+Q14+R15</f>
        <v>12.041594578792296</v>
      </c>
      <c r="P16">
        <f>O16*3</f>
        <v>36.124783736376884</v>
      </c>
      <c r="T16" s="27" t="s">
        <v>34</v>
      </c>
      <c r="U16" s="33">
        <f>LOG10(AE16-X5)*20</f>
        <v>21.170722957307436</v>
      </c>
      <c r="AB16" s="2" t="s">
        <v>3</v>
      </c>
      <c r="AC16">
        <f>AD9-AC13</f>
        <v>6.75</v>
      </c>
      <c r="AD16">
        <f>SQRT(AC16^2+AC9^2)</f>
        <v>7.3866433513470788</v>
      </c>
      <c r="AE16" s="21">
        <f>AD14+AD15+AD16</f>
        <v>13.678969169161256</v>
      </c>
      <c r="AF16">
        <f>AE16*3</f>
        <v>41.036907507483768</v>
      </c>
      <c r="AH16">
        <f>AJ13+AJ14+AK15</f>
        <v>12.041594578792296</v>
      </c>
      <c r="AI16">
        <f>AH16*3</f>
        <v>36.124783736376884</v>
      </c>
      <c r="AM16" s="27" t="s">
        <v>34</v>
      </c>
      <c r="AN16" s="33">
        <f>LOG10(AX16-AQ5)*20</f>
        <v>21.170722957307436</v>
      </c>
      <c r="AU16" s="2" t="s">
        <v>3</v>
      </c>
      <c r="AV16">
        <f>AW9-AV13</f>
        <v>6.75</v>
      </c>
      <c r="AW16">
        <f>SQRT(AV16^2+AV9^2)</f>
        <v>7.3866433513470788</v>
      </c>
      <c r="AX16" s="21">
        <f>AW14+AW15+AW16</f>
        <v>13.678969169161256</v>
      </c>
      <c r="AY16">
        <f>AX16*3</f>
        <v>41.036907507483768</v>
      </c>
      <c r="BA16">
        <f>BC13+BC14+BD15</f>
        <v>12.041594578792296</v>
      </c>
      <c r="BB16">
        <f>BA16*3</f>
        <v>36.124783736376884</v>
      </c>
    </row>
    <row r="17" spans="1:56" ht="20">
      <c r="A17" s="27" t="s">
        <v>35</v>
      </c>
      <c r="B17" s="38">
        <f>64*Q17/90</f>
        <v>29.606072417116589</v>
      </c>
      <c r="C17">
        <f>3-B3</f>
        <v>1</v>
      </c>
      <c r="D17">
        <f>D7/F17</f>
        <v>4</v>
      </c>
      <c r="E17">
        <f>(C17*B2)/(D7+C17)</f>
        <v>0.25</v>
      </c>
      <c r="F17">
        <f>B2-E17</f>
        <v>0.75</v>
      </c>
      <c r="G17">
        <f>SQRT(C17^2+E17^2)</f>
        <v>1.0307764064044151</v>
      </c>
      <c r="H17">
        <f>SQRT(D7^2+F17^2)</f>
        <v>3.0923292192132452</v>
      </c>
      <c r="I17" s="2" t="s">
        <v>1</v>
      </c>
      <c r="J17">
        <f>J9/(5-J13)</f>
        <v>0.44444444444444442</v>
      </c>
      <c r="K17">
        <f>ATAN(J17)</f>
        <v>0.41822432957922906</v>
      </c>
      <c r="L17">
        <f>DEGREES(K17)</f>
        <v>23.962488974578182</v>
      </c>
      <c r="O17">
        <f>J9/O15</f>
        <v>0.88888888888888884</v>
      </c>
      <c r="P17">
        <f>ATAN(O17)</f>
        <v>0.72664234068172562</v>
      </c>
      <c r="Q17">
        <f>DEGREES(P17)</f>
        <v>41.633539336570202</v>
      </c>
      <c r="T17" s="27" t="s">
        <v>35</v>
      </c>
      <c r="U17" s="38">
        <f>50*AJ17/90</f>
        <v>23.129744075872335</v>
      </c>
      <c r="V17">
        <f>3-U3</f>
        <v>1</v>
      </c>
      <c r="W17">
        <f>W7/Y17</f>
        <v>4</v>
      </c>
      <c r="X17">
        <f>(V17*U2)/(W7+V17)</f>
        <v>0.25</v>
      </c>
      <c r="Y17">
        <f>U2-X17</f>
        <v>0.75</v>
      </c>
      <c r="Z17">
        <f>SQRT(V17^2+X17^2)</f>
        <v>1.0307764064044151</v>
      </c>
      <c r="AA17">
        <f>SQRT(W7^2+Y17^2)</f>
        <v>3.0923292192132452</v>
      </c>
      <c r="AB17" s="2" t="s">
        <v>1</v>
      </c>
      <c r="AC17">
        <f>AC9/(5-AC13)</f>
        <v>0.44444444444444442</v>
      </c>
      <c r="AD17">
        <f>ATAN(AC17)</f>
        <v>0.41822432957922906</v>
      </c>
      <c r="AE17">
        <f>DEGREES(AD17)</f>
        <v>23.962488974578182</v>
      </c>
      <c r="AH17">
        <f>AC9/AH15</f>
        <v>0.88888888888888884</v>
      </c>
      <c r="AI17">
        <f>ATAN(AH17)</f>
        <v>0.72664234068172562</v>
      </c>
      <c r="AJ17">
        <f>DEGREES(AI17)</f>
        <v>41.633539336570202</v>
      </c>
      <c r="AM17" s="27" t="s">
        <v>35</v>
      </c>
      <c r="AN17" s="38">
        <f>100*BC17/90</f>
        <v>46.259488151744669</v>
      </c>
      <c r="AO17">
        <f>3-AN3</f>
        <v>1</v>
      </c>
      <c r="AP17">
        <f>AP7/AR17</f>
        <v>4</v>
      </c>
      <c r="AQ17">
        <f>(AO17*AN2)/(AP7+AO17)</f>
        <v>0.25</v>
      </c>
      <c r="AR17">
        <f>AN2-AQ17</f>
        <v>0.75</v>
      </c>
      <c r="AS17">
        <f>SQRT(AO17^2+AQ17^2)</f>
        <v>1.0307764064044151</v>
      </c>
      <c r="AT17">
        <f>SQRT(AP7^2+AR17^2)</f>
        <v>3.0923292192132452</v>
      </c>
      <c r="AU17" s="2" t="s">
        <v>1</v>
      </c>
      <c r="AV17">
        <f>AV9/(5-AV13)</f>
        <v>0.44444444444444442</v>
      </c>
      <c r="AW17">
        <f>ATAN(AV17)</f>
        <v>0.41822432957922906</v>
      </c>
      <c r="AX17">
        <f>DEGREES(AW17)</f>
        <v>23.962488974578182</v>
      </c>
      <c r="BA17">
        <f>AV9/BA15</f>
        <v>0.88888888888888884</v>
      </c>
      <c r="BB17">
        <f>ATAN(BA17)</f>
        <v>0.72664234068172562</v>
      </c>
      <c r="BC17">
        <f>DEGREES(BB17)</f>
        <v>41.633539336570202</v>
      </c>
    </row>
    <row r="18" spans="1:56" ht="20">
      <c r="A18" s="27" t="s">
        <v>36</v>
      </c>
      <c r="B18" s="38">
        <f>P16-C4</f>
        <v>29.416579803877514</v>
      </c>
      <c r="C18">
        <f>ATAN(D17)</f>
        <v>1.3258176636680326</v>
      </c>
      <c r="D18">
        <f>DEGREES(C18)</f>
        <v>75.963756532073532</v>
      </c>
      <c r="I18" s="2" t="s">
        <v>2</v>
      </c>
      <c r="J18" s="21"/>
      <c r="K18" s="21"/>
      <c r="O18">
        <f>O16-E5</f>
        <v>9.805526601292506</v>
      </c>
      <c r="T18" s="27" t="s">
        <v>36</v>
      </c>
      <c r="U18" s="38">
        <f>AI16-V4</f>
        <v>29.416579803877514</v>
      </c>
      <c r="V18">
        <f>ATAN(W17)</f>
        <v>1.3258176636680326</v>
      </c>
      <c r="W18">
        <f>DEGREES(V18)</f>
        <v>75.963756532073532</v>
      </c>
      <c r="AB18" s="2" t="s">
        <v>2</v>
      </c>
      <c r="AC18" s="21"/>
      <c r="AD18" s="21"/>
      <c r="AH18">
        <f>AH16-X5</f>
        <v>9.805526601292506</v>
      </c>
      <c r="AM18" s="27" t="s">
        <v>36</v>
      </c>
      <c r="AN18" s="38">
        <f>BB16-AO4</f>
        <v>29.416579803877514</v>
      </c>
      <c r="AO18">
        <f>ATAN(AP17)</f>
        <v>1.3258176636680326</v>
      </c>
      <c r="AP18">
        <f>DEGREES(AO18)</f>
        <v>75.963756532073532</v>
      </c>
      <c r="AU18" s="2" t="s">
        <v>2</v>
      </c>
      <c r="AV18" s="21"/>
      <c r="AW18" s="21"/>
      <c r="BA18">
        <f>BA16-AQ5</f>
        <v>9.805526601292506</v>
      </c>
    </row>
    <row r="19" spans="1:56" ht="21" thickBot="1">
      <c r="A19" s="28" t="s">
        <v>37</v>
      </c>
      <c r="B19" s="39">
        <f>LOG(O18)*20</f>
        <v>19.829418444307109</v>
      </c>
      <c r="I19" s="2" t="s">
        <v>3</v>
      </c>
      <c r="J19" s="21"/>
      <c r="M19" s="21"/>
      <c r="T19" s="28" t="s">
        <v>37</v>
      </c>
      <c r="U19" s="39">
        <f>LOG(AH18)*20</f>
        <v>19.829418444307109</v>
      </c>
      <c r="AB19" s="2" t="s">
        <v>3</v>
      </c>
      <c r="AC19" s="21"/>
      <c r="AF19" s="21"/>
      <c r="AM19" s="28" t="s">
        <v>37</v>
      </c>
      <c r="AN19" s="39">
        <f>LOG(BA18)*20</f>
        <v>19.829418444307109</v>
      </c>
      <c r="AU19" s="2" t="s">
        <v>3</v>
      </c>
      <c r="AV19" s="21"/>
      <c r="AY19" s="21"/>
    </row>
    <row r="20" spans="1:56" ht="20">
      <c r="A20" s="42" t="s">
        <v>43</v>
      </c>
      <c r="B20"/>
      <c r="C20">
        <v>3</v>
      </c>
      <c r="D20" s="3">
        <v>5</v>
      </c>
      <c r="E20" s="3">
        <f>3-B3</f>
        <v>1</v>
      </c>
      <c r="L20" s="21"/>
      <c r="M20" s="21"/>
      <c r="N20" s="21"/>
      <c r="T20" s="42" t="s">
        <v>42</v>
      </c>
      <c r="V20">
        <v>3</v>
      </c>
      <c r="W20" s="3">
        <v>5</v>
      </c>
      <c r="X20" s="3">
        <f>3-U3</f>
        <v>1</v>
      </c>
      <c r="AE20" s="21"/>
      <c r="AF20" s="21"/>
      <c r="AG20" s="21"/>
      <c r="AM20" s="42" t="s">
        <v>44</v>
      </c>
      <c r="AO20">
        <v>3</v>
      </c>
      <c r="AP20" s="3">
        <v>5</v>
      </c>
      <c r="AQ20" s="3">
        <f>3-AN3</f>
        <v>1</v>
      </c>
      <c r="AX20" s="21"/>
      <c r="AY20" s="21"/>
      <c r="AZ20" s="21"/>
    </row>
    <row r="21" spans="1:56">
      <c r="A21" s="1"/>
      <c r="B21"/>
    </row>
    <row r="22" spans="1:56" ht="24" thickBot="1">
      <c r="A22" s="52" t="s">
        <v>50</v>
      </c>
      <c r="B22" s="52"/>
      <c r="T22" s="52" t="s">
        <v>50</v>
      </c>
      <c r="U22" s="52"/>
      <c r="AM22" s="52" t="s">
        <v>50</v>
      </c>
      <c r="AN22" s="52"/>
    </row>
    <row r="23" spans="1:56" ht="20">
      <c r="A23" s="24" t="s">
        <v>22</v>
      </c>
      <c r="B23" s="29">
        <v>1</v>
      </c>
      <c r="C23">
        <f>ATAN(B24/B23)</f>
        <v>1.1071487177940904</v>
      </c>
      <c r="D23">
        <f>DEGREES(C23)</f>
        <v>63.43494882292201</v>
      </c>
      <c r="I23" s="2" t="s">
        <v>0</v>
      </c>
      <c r="T23" s="24" t="s">
        <v>22</v>
      </c>
      <c r="U23" s="29">
        <v>1</v>
      </c>
      <c r="V23">
        <f>ATAN(U24/U23)</f>
        <v>1.1071487177940904</v>
      </c>
      <c r="W23">
        <f>DEGREES(V23)</f>
        <v>63.43494882292201</v>
      </c>
      <c r="AB23" s="2" t="s">
        <v>0</v>
      </c>
      <c r="AM23" s="24" t="s">
        <v>22</v>
      </c>
      <c r="AN23" s="29">
        <v>1</v>
      </c>
      <c r="AO23">
        <f>ATAN(AN24/AN23)</f>
        <v>1.1071487177940904</v>
      </c>
      <c r="AP23">
        <f>DEGREES(AO23)</f>
        <v>63.43494882292201</v>
      </c>
      <c r="AU23" s="2" t="s">
        <v>0</v>
      </c>
    </row>
    <row r="24" spans="1:56" ht="21">
      <c r="A24" s="25" t="s">
        <v>23</v>
      </c>
      <c r="B24" s="31">
        <v>2</v>
      </c>
      <c r="I24" s="2" t="s">
        <v>0</v>
      </c>
      <c r="J24" s="12" t="s">
        <v>11</v>
      </c>
      <c r="K24" s="4" t="s">
        <v>8</v>
      </c>
      <c r="L24" s="4" t="s">
        <v>9</v>
      </c>
      <c r="M24" s="5" t="s">
        <v>10</v>
      </c>
      <c r="T24" s="25" t="s">
        <v>23</v>
      </c>
      <c r="U24" s="31">
        <v>2</v>
      </c>
      <c r="AB24" s="2" t="s">
        <v>0</v>
      </c>
      <c r="AC24" s="12" t="s">
        <v>11</v>
      </c>
      <c r="AD24" s="4" t="s">
        <v>8</v>
      </c>
      <c r="AE24" s="4" t="s">
        <v>9</v>
      </c>
      <c r="AF24" s="5" t="s">
        <v>10</v>
      </c>
      <c r="AM24" s="25" t="s">
        <v>23</v>
      </c>
      <c r="AN24" s="31">
        <v>2</v>
      </c>
      <c r="AU24" s="2" t="s">
        <v>0</v>
      </c>
      <c r="AV24" s="12" t="s">
        <v>11</v>
      </c>
      <c r="AW24" s="4" t="s">
        <v>8</v>
      </c>
      <c r="AX24" s="4" t="s">
        <v>9</v>
      </c>
      <c r="AY24" s="5" t="s">
        <v>10</v>
      </c>
    </row>
    <row r="25" spans="1:56" ht="20">
      <c r="A25" s="25" t="s">
        <v>24</v>
      </c>
      <c r="B25" s="31">
        <f>64*D23/90</f>
        <v>45.109296940744542</v>
      </c>
      <c r="C25">
        <f>SQRT(B24^2+B23^2)*3</f>
        <v>6.7082039324993694</v>
      </c>
      <c r="D25">
        <f>5-B23</f>
        <v>4</v>
      </c>
      <c r="E25">
        <v>5</v>
      </c>
      <c r="F25">
        <f>(D25*B24)/(E25+D25)</f>
        <v>0.88888888888888884</v>
      </c>
      <c r="G25">
        <f>B24-F25</f>
        <v>1.1111111111111112</v>
      </c>
      <c r="I25" s="2" t="s">
        <v>1</v>
      </c>
      <c r="J25" s="6" t="s">
        <v>4</v>
      </c>
      <c r="K25" s="7">
        <f>Q30</f>
        <v>5</v>
      </c>
      <c r="L25" s="23">
        <f>P30+Q30</f>
        <v>9</v>
      </c>
      <c r="M25" s="8">
        <f>-O31</f>
        <v>-12</v>
      </c>
      <c r="T25" s="25" t="s">
        <v>24</v>
      </c>
      <c r="U25" s="31">
        <f>50*W23/90</f>
        <v>35.241638234956667</v>
      </c>
      <c r="V25">
        <f>SQRT(U24^2+U23^2)*3</f>
        <v>6.7082039324993694</v>
      </c>
      <c r="W25">
        <f>5-U23</f>
        <v>4</v>
      </c>
      <c r="X25">
        <v>5</v>
      </c>
      <c r="Y25">
        <f>(W25*U24)/(X25+W25)</f>
        <v>0.88888888888888884</v>
      </c>
      <c r="Z25">
        <f>U24-Y25</f>
        <v>1.1111111111111112</v>
      </c>
      <c r="AB25" s="2" t="s">
        <v>1</v>
      </c>
      <c r="AC25" s="6" t="s">
        <v>4</v>
      </c>
      <c r="AD25" s="7">
        <f>AJ30</f>
        <v>5</v>
      </c>
      <c r="AE25" s="23">
        <f>AI30+AJ30</f>
        <v>9</v>
      </c>
      <c r="AF25" s="8">
        <f>-AH31</f>
        <v>-12</v>
      </c>
      <c r="AM25" s="25" t="s">
        <v>24</v>
      </c>
      <c r="AN25" s="31">
        <f>(100*AP23)/90</f>
        <v>70.483276469913335</v>
      </c>
      <c r="AO25">
        <f>SQRT(AN24^2+AN23^2)*3</f>
        <v>6.7082039324993694</v>
      </c>
      <c r="AP25">
        <f>5-AN23</f>
        <v>4</v>
      </c>
      <c r="AQ25">
        <v>5</v>
      </c>
      <c r="AR25">
        <f>(AP25*AN24)/(AQ25+AP25)</f>
        <v>0.88888888888888884</v>
      </c>
      <c r="AS25">
        <f>AN24-AR25</f>
        <v>1.1111111111111112</v>
      </c>
      <c r="AU25" s="2" t="s">
        <v>1</v>
      </c>
      <c r="AV25" s="6" t="s">
        <v>4</v>
      </c>
      <c r="AW25" s="7">
        <f>BC30</f>
        <v>5</v>
      </c>
      <c r="AX25" s="23">
        <f>BB30+BC30</f>
        <v>9</v>
      </c>
      <c r="AY25" s="8">
        <f>-BA31</f>
        <v>-12</v>
      </c>
    </row>
    <row r="26" spans="1:56" ht="20">
      <c r="A26" s="25" t="s">
        <v>25</v>
      </c>
      <c r="B26" s="31">
        <f>(G26*64)/90</f>
        <v>8.909374370952186</v>
      </c>
      <c r="C26">
        <f>SQRT(F25^2+D25^2)</f>
        <v>4.0975753143523947</v>
      </c>
      <c r="D26">
        <f>SQRT(G25^2+E25^2)</f>
        <v>5.1219691429404932</v>
      </c>
      <c r="E26">
        <f>SQRT(B24^2+B23^2)</f>
        <v>2.2360679774997898</v>
      </c>
      <c r="F26">
        <f>ATAN(G25/E25)</f>
        <v>0.21866894587394198</v>
      </c>
      <c r="G26">
        <f>DEGREES(F26)</f>
        <v>12.528807709151511</v>
      </c>
      <c r="I26" s="2" t="s">
        <v>1</v>
      </c>
      <c r="J26" s="9"/>
      <c r="K26" s="7"/>
      <c r="L26" s="7"/>
      <c r="M26" s="8"/>
      <c r="T26" s="25" t="s">
        <v>25</v>
      </c>
      <c r="U26" s="31">
        <f>(Z26*50)/90</f>
        <v>6.9604487273063951</v>
      </c>
      <c r="V26">
        <f>SQRT(Y25^2+W25^2)</f>
        <v>4.0975753143523947</v>
      </c>
      <c r="W26">
        <f>SQRT(Z25^2+X25^2)</f>
        <v>5.1219691429404932</v>
      </c>
      <c r="X26">
        <f>SQRT(U24^2+U23^2)</f>
        <v>2.2360679774997898</v>
      </c>
      <c r="Y26">
        <f>ATAN(Z25/X25)</f>
        <v>0.21866894587394198</v>
      </c>
      <c r="Z26">
        <f>DEGREES(Y26)</f>
        <v>12.528807709151511</v>
      </c>
      <c r="AB26" s="2" t="s">
        <v>1</v>
      </c>
      <c r="AC26" s="9"/>
      <c r="AD26" s="7"/>
      <c r="AE26" s="7"/>
      <c r="AF26" s="8"/>
      <c r="AM26" s="25" t="s">
        <v>25</v>
      </c>
      <c r="AN26" s="31">
        <f>(AS26*100)/90</f>
        <v>13.92089745461279</v>
      </c>
      <c r="AO26">
        <f>SQRT(AR25^2+AP25^2)</f>
        <v>4.0975753143523947</v>
      </c>
      <c r="AP26">
        <f>SQRT(AS25^2+AQ25^2)</f>
        <v>5.1219691429404932</v>
      </c>
      <c r="AQ26">
        <f>SQRT(AN24^2+AN23^2)</f>
        <v>2.2360679774997898</v>
      </c>
      <c r="AR26">
        <f>ATAN(AS25/AQ25)</f>
        <v>0.21866894587394198</v>
      </c>
      <c r="AS26">
        <f>DEGREES(AR26)</f>
        <v>12.528807709151511</v>
      </c>
      <c r="AU26" s="2" t="s">
        <v>1</v>
      </c>
      <c r="AV26" s="9"/>
      <c r="AW26" s="7"/>
      <c r="AX26" s="7"/>
      <c r="AY26" s="8"/>
    </row>
    <row r="27" spans="1:56" ht="20">
      <c r="A27" s="25" t="s">
        <v>16</v>
      </c>
      <c r="B27" s="31">
        <f>(C26+D26-E26)*3</f>
        <v>20.950429439379292</v>
      </c>
      <c r="I27" s="2" t="s">
        <v>2</v>
      </c>
      <c r="J27" s="13" t="s">
        <v>6</v>
      </c>
      <c r="K27" s="7">
        <f>(-L25+SQRT(L25^2-4*K25*M25))/(2*K25)</f>
        <v>0.89164728671689164</v>
      </c>
      <c r="L27" s="7" t="str">
        <f>IF(AND(K27&lt;&gt;P30, K27&lt;&gt;O30, K27&lt;&gt;K30, K27&lt;&gt;J30, K27&gt;N8), "CORRECTO", "INCORRECTO")</f>
        <v>CORRECTO</v>
      </c>
      <c r="M27" s="8"/>
      <c r="T27" s="25" t="s">
        <v>16</v>
      </c>
      <c r="U27" s="31">
        <f>(V26+W26-X26)*3</f>
        <v>20.950429439379292</v>
      </c>
      <c r="AB27" s="2" t="s">
        <v>2</v>
      </c>
      <c r="AC27" s="13" t="s">
        <v>6</v>
      </c>
      <c r="AD27" s="7">
        <f>(-AE25+SQRT(AE25^2-4*AD25*AF25))/(2*AD25)</f>
        <v>0.89164728671689164</v>
      </c>
      <c r="AE27" s="7" t="str">
        <f>IF(AND(AD27&lt;&gt;AI30, AD27&lt;&gt;AH30, AD27&lt;&gt;AD30, AD27&lt;&gt;AC30, AD27&gt;AG8), "CORRECTO", "INCORRECTO")</f>
        <v>CORRECTO</v>
      </c>
      <c r="AF27" s="8"/>
      <c r="AM27" s="25" t="s">
        <v>16</v>
      </c>
      <c r="AN27" s="31">
        <f>(AO26+AP26-AQ26)*3</f>
        <v>20.950429439379292</v>
      </c>
      <c r="AU27" s="2" t="s">
        <v>2</v>
      </c>
      <c r="AV27" s="13" t="s">
        <v>6</v>
      </c>
      <c r="AW27" s="7">
        <f>(-AX25+SQRT(AX25^2-4*AW25*AY25))/(2*AW25)</f>
        <v>0.89164728671689164</v>
      </c>
      <c r="AX27" s="7" t="str">
        <f>IF(AND(AW27&lt;&gt;BB30, AW27&lt;&gt;BA30, AW27&lt;&gt;AW30, AW27&lt;&gt;AV30, AW27&gt;AZ8), "CORRECTO", "INCORRECTO")</f>
        <v>CORRECTO</v>
      </c>
      <c r="AY27" s="8"/>
    </row>
    <row r="28" spans="1:56" ht="20">
      <c r="A28" s="25" t="s">
        <v>21</v>
      </c>
      <c r="B28" s="31">
        <f>LOG10(C26+D26-E26)*20</f>
        <v>16.881433495797438</v>
      </c>
      <c r="C28">
        <f>3-B24</f>
        <v>1</v>
      </c>
      <c r="D28">
        <v>3</v>
      </c>
      <c r="E28">
        <f>(C28*B23)/(D28+B23)</f>
        <v>0.25</v>
      </c>
      <c r="F28">
        <f>B23-E28</f>
        <v>0.75</v>
      </c>
      <c r="G28">
        <f>SQRT(E28^2+C28^2)</f>
        <v>1.0307764064044151</v>
      </c>
      <c r="H28">
        <f>SQRT(F28^2+D28^2)</f>
        <v>3.0923292192132452</v>
      </c>
      <c r="I28" s="2" t="s">
        <v>3</v>
      </c>
      <c r="J28" s="14" t="s">
        <v>7</v>
      </c>
      <c r="K28" s="10">
        <f>(-L25-SQRT(L25^2-4*K25*M25))/(2*K25)</f>
        <v>-2.6916472867168917</v>
      </c>
      <c r="L28" s="10" t="str">
        <f>IF(AND(K28&lt;&gt;P30, K28&lt;&gt;O30, K28&lt;&gt;K30, K28&lt;&gt;J30, K28&gt;N8), "CORRECTO", "INCORRECTO")</f>
        <v>INCORRECTO</v>
      </c>
      <c r="M28" s="11"/>
      <c r="T28" s="25" t="s">
        <v>21</v>
      </c>
      <c r="U28" s="31">
        <f>LOG10(V26+W26-X26)*20</f>
        <v>16.881433495797438</v>
      </c>
      <c r="V28">
        <f>3-U24</f>
        <v>1</v>
      </c>
      <c r="W28">
        <v>3</v>
      </c>
      <c r="X28">
        <f>(V28*U23)/(W28+U23)</f>
        <v>0.25</v>
      </c>
      <c r="Y28">
        <f>U23-X28</f>
        <v>0.75</v>
      </c>
      <c r="Z28">
        <f>SQRT(X28^2+V28^2)</f>
        <v>1.0307764064044151</v>
      </c>
      <c r="AA28">
        <f>SQRT(Y28^2+W28^2)</f>
        <v>3.0923292192132452</v>
      </c>
      <c r="AB28" s="2" t="s">
        <v>3</v>
      </c>
      <c r="AC28" s="14" t="s">
        <v>7</v>
      </c>
      <c r="AD28" s="10">
        <f>(-AE25-SQRT(AE25^2-4*AD25*AF25))/(2*AD25)</f>
        <v>-2.6916472867168917</v>
      </c>
      <c r="AE28" s="10" t="str">
        <f>IF(AND(AD28&lt;&gt;AI30, AD28&lt;&gt;AH30, AD28&lt;&gt;AD30, AD28&lt;&gt;AC30, AD28&gt;AG8), "CORRECTO", "INCORRECTO")</f>
        <v>INCORRECTO</v>
      </c>
      <c r="AF28" s="11"/>
      <c r="AM28" s="25" t="s">
        <v>21</v>
      </c>
      <c r="AN28" s="31">
        <f>LOG10(AO26+AP26-AQ26)*20</f>
        <v>16.881433495797438</v>
      </c>
      <c r="AO28">
        <f>3-AN24</f>
        <v>1</v>
      </c>
      <c r="AP28">
        <v>3</v>
      </c>
      <c r="AQ28">
        <f>(AO28*AN23)/(AP28+AN23)</f>
        <v>0.25</v>
      </c>
      <c r="AR28">
        <f>AN23-AQ28</f>
        <v>0.75</v>
      </c>
      <c r="AS28">
        <f>SQRT(AQ28^2+AO28^2)</f>
        <v>1.0307764064044151</v>
      </c>
      <c r="AT28">
        <f>SQRT(AR28^2+AP28^2)</f>
        <v>3.0923292192132452</v>
      </c>
      <c r="AU28" s="2" t="s">
        <v>3</v>
      </c>
      <c r="AV28" s="14" t="s">
        <v>7</v>
      </c>
      <c r="AW28" s="10">
        <f>(-AX25-SQRT(AX25^2-4*AW25*AY25))/(2*AW25)</f>
        <v>-2.6916472867168917</v>
      </c>
      <c r="AX28" s="10" t="str">
        <f>IF(AND(AW28&lt;&gt;BB30, AW28&lt;&gt;BA30, AW28&lt;&gt;AW30, AW28&lt;&gt;AV30, AW28&gt;AZ8), "CORRECTO", "INCORRECTO")</f>
        <v>INCORRECTO</v>
      </c>
      <c r="AY28" s="11"/>
    </row>
    <row r="29" spans="1:56" ht="20">
      <c r="A29" s="26" t="s">
        <v>26</v>
      </c>
      <c r="B29" s="31">
        <f>(64*D36)/90</f>
        <v>60.949935410617591</v>
      </c>
      <c r="C29">
        <f>3/F28</f>
        <v>4</v>
      </c>
      <c r="D29">
        <f>ATAN(C29)</f>
        <v>1.3258176636680326</v>
      </c>
      <c r="E29">
        <f>DEGREES(D29)</f>
        <v>75.963756532073532</v>
      </c>
      <c r="I29" s="2" t="s">
        <v>1</v>
      </c>
      <c r="T29" s="26" t="s">
        <v>26</v>
      </c>
      <c r="U29" s="31">
        <f>(50*W36)/90</f>
        <v>47.617137039544993</v>
      </c>
      <c r="V29">
        <f>3/Y28</f>
        <v>4</v>
      </c>
      <c r="W29">
        <f>ATAN(V29)</f>
        <v>1.3258176636680326</v>
      </c>
      <c r="X29">
        <f>DEGREES(W29)</f>
        <v>75.963756532073532</v>
      </c>
      <c r="AB29" s="2" t="s">
        <v>1</v>
      </c>
      <c r="AM29" s="26" t="s">
        <v>26</v>
      </c>
      <c r="AN29" s="31">
        <f>(100*AP36)/90</f>
        <v>95.234274079089985</v>
      </c>
      <c r="AO29">
        <f>3/AR28</f>
        <v>4</v>
      </c>
      <c r="AP29">
        <f>ATAN(AO29)</f>
        <v>1.3258176636680326</v>
      </c>
      <c r="AQ29">
        <f>DEGREES(AP29)</f>
        <v>75.963756532073532</v>
      </c>
      <c r="AU29" s="2" t="s">
        <v>1</v>
      </c>
    </row>
    <row r="30" spans="1:56" ht="20">
      <c r="A30" s="26" t="s">
        <v>27</v>
      </c>
      <c r="B30" s="31">
        <f>(G35+H35-E26)*3</f>
        <v>17.478569312396278</v>
      </c>
      <c r="I30" s="2" t="s">
        <v>2</v>
      </c>
      <c r="J30" s="34">
        <v>3</v>
      </c>
      <c r="K30" s="34">
        <v>5</v>
      </c>
      <c r="L30" s="36">
        <f>6-(3-B24)</f>
        <v>5</v>
      </c>
      <c r="M30" s="36">
        <f>5-B23</f>
        <v>4</v>
      </c>
      <c r="O30" s="35">
        <f>3-B24</f>
        <v>1</v>
      </c>
      <c r="P30" s="35">
        <f>5-B23</f>
        <v>4</v>
      </c>
      <c r="Q30" s="44">
        <f>5</f>
        <v>5</v>
      </c>
      <c r="R30" s="44">
        <f>3</f>
        <v>3</v>
      </c>
      <c r="T30" s="26" t="s">
        <v>27</v>
      </c>
      <c r="U30" s="31">
        <f>(Z35+AA35-X26)*3</f>
        <v>17.478569312396278</v>
      </c>
      <c r="AB30" s="2" t="s">
        <v>2</v>
      </c>
      <c r="AC30" s="34">
        <v>3</v>
      </c>
      <c r="AD30" s="34">
        <v>5</v>
      </c>
      <c r="AE30" s="36">
        <f>6-(3-U24)</f>
        <v>5</v>
      </c>
      <c r="AF30" s="36">
        <f>5-U23</f>
        <v>4</v>
      </c>
      <c r="AH30" s="35">
        <f>3-U24</f>
        <v>1</v>
      </c>
      <c r="AI30" s="35">
        <f>5-U23</f>
        <v>4</v>
      </c>
      <c r="AJ30" s="44">
        <f>5</f>
        <v>5</v>
      </c>
      <c r="AK30" s="44">
        <f>3</f>
        <v>3</v>
      </c>
      <c r="AM30" s="26" t="s">
        <v>27</v>
      </c>
      <c r="AN30" s="31">
        <f>(AS35+AT35-AQ26)*3</f>
        <v>17.478569312396278</v>
      </c>
      <c r="AU30" s="2" t="s">
        <v>2</v>
      </c>
      <c r="AV30" s="34">
        <v>3</v>
      </c>
      <c r="AW30" s="34">
        <v>5</v>
      </c>
      <c r="AX30" s="36">
        <f>6-(3-AN24)</f>
        <v>5</v>
      </c>
      <c r="AY30" s="36">
        <f>5-AN23</f>
        <v>4</v>
      </c>
      <c r="BA30" s="35">
        <f>3-AN24</f>
        <v>1</v>
      </c>
      <c r="BB30" s="35">
        <f>5-AN23</f>
        <v>4</v>
      </c>
      <c r="BC30" s="44">
        <f>5</f>
        <v>5</v>
      </c>
      <c r="BD30" s="44">
        <f>3</f>
        <v>3</v>
      </c>
    </row>
    <row r="31" spans="1:56" ht="20">
      <c r="A31" s="26" t="s">
        <v>28</v>
      </c>
      <c r="B31" s="31">
        <f>LOG10(G35+H35-E26)*20</f>
        <v>15.307692527454934</v>
      </c>
      <c r="I31" s="2" t="s">
        <v>3</v>
      </c>
      <c r="J31">
        <f>M30*J30</f>
        <v>12</v>
      </c>
      <c r="K31">
        <f>L30*K30</f>
        <v>25</v>
      </c>
      <c r="L31" s="21">
        <f>M30+K30</f>
        <v>9</v>
      </c>
      <c r="M31">
        <f>K31-9</f>
        <v>16</v>
      </c>
      <c r="O31">
        <f>P30*R30</f>
        <v>12</v>
      </c>
      <c r="T31" s="26" t="s">
        <v>28</v>
      </c>
      <c r="U31" s="31">
        <f>LOG10(Z35+AA35-X26)*20</f>
        <v>15.307692527454934</v>
      </c>
      <c r="AB31" s="2" t="s">
        <v>3</v>
      </c>
      <c r="AC31">
        <f>AF30*AC30</f>
        <v>12</v>
      </c>
      <c r="AD31">
        <f>AE30*AD30</f>
        <v>25</v>
      </c>
      <c r="AE31" s="21">
        <f>AF30+AD30</f>
        <v>9</v>
      </c>
      <c r="AF31">
        <f>AD31-9</f>
        <v>16</v>
      </c>
      <c r="AH31">
        <f>AI30*AK30</f>
        <v>12</v>
      </c>
      <c r="AM31" s="26" t="s">
        <v>28</v>
      </c>
      <c r="AN31" s="31">
        <f>LOG10(AS35+AT35-AQ26)*20</f>
        <v>15.307692527454934</v>
      </c>
      <c r="AU31" s="2" t="s">
        <v>3</v>
      </c>
      <c r="AV31">
        <f>AY30*AV30</f>
        <v>12</v>
      </c>
      <c r="AW31">
        <f>AX30*AW30</f>
        <v>25</v>
      </c>
      <c r="AX31" s="21">
        <f>AY30+AW30</f>
        <v>9</v>
      </c>
      <c r="AY31">
        <f>AW31-9</f>
        <v>16</v>
      </c>
      <c r="BA31">
        <f>BB30*BD30</f>
        <v>12</v>
      </c>
    </row>
    <row r="32" spans="1:56" ht="20">
      <c r="A32" s="26" t="s">
        <v>29</v>
      </c>
      <c r="B32" s="31">
        <f>(64*D39)/90</f>
        <v>54.018671311696735</v>
      </c>
      <c r="C32">
        <f>3+B24</f>
        <v>5</v>
      </c>
      <c r="E32">
        <f>(C32*B23)/(D28+C32)</f>
        <v>0.625</v>
      </c>
      <c r="F32">
        <f>B23-E32</f>
        <v>0.375</v>
      </c>
      <c r="G32">
        <f>SQRT(C32^2+E32^2)</f>
        <v>5.0389110926865932</v>
      </c>
      <c r="H32">
        <f>SQRT(D28^2+F32^2)</f>
        <v>3.0233466556119559</v>
      </c>
      <c r="I32" s="2" t="s">
        <v>1</v>
      </c>
      <c r="T32" s="26" t="s">
        <v>29</v>
      </c>
      <c r="U32" s="31">
        <f>(50*W39)/90</f>
        <v>42.202086962263074</v>
      </c>
      <c r="V32">
        <f>3+U24</f>
        <v>5</v>
      </c>
      <c r="X32">
        <f>(V32*U23)/(W28+V32)</f>
        <v>0.625</v>
      </c>
      <c r="Y32">
        <f>U23-X32</f>
        <v>0.375</v>
      </c>
      <c r="Z32">
        <f>SQRT(V32^2+X32^2)</f>
        <v>5.0389110926865932</v>
      </c>
      <c r="AA32">
        <f>SQRT(W28^2+Y32^2)</f>
        <v>3.0233466556119559</v>
      </c>
      <c r="AB32" s="2" t="s">
        <v>1</v>
      </c>
      <c r="AM32" s="26" t="s">
        <v>29</v>
      </c>
      <c r="AN32" s="31">
        <f>(100*AP39)/90</f>
        <v>84.404173924526148</v>
      </c>
      <c r="AO32">
        <f>3+AN24</f>
        <v>5</v>
      </c>
      <c r="AQ32">
        <f>(AO32*AN23)/(AP28+AO32)</f>
        <v>0.625</v>
      </c>
      <c r="AR32">
        <f>AN23-AQ32</f>
        <v>0.375</v>
      </c>
      <c r="AS32">
        <f>SQRT(AO32^2+AQ32^2)</f>
        <v>5.0389110926865932</v>
      </c>
      <c r="AT32">
        <f>SQRT(AP28^2+AR32^2)</f>
        <v>3.0233466556119559</v>
      </c>
      <c r="AU32" s="2" t="s">
        <v>1</v>
      </c>
    </row>
    <row r="33" spans="1:55" ht="20">
      <c r="A33" s="26" t="s">
        <v>30</v>
      </c>
      <c r="B33" s="31">
        <f>(G38+H38-E26)*3</f>
        <v>5.6611129443536123</v>
      </c>
      <c r="C33">
        <f>3/F32</f>
        <v>8</v>
      </c>
      <c r="D33">
        <f>ATAN(C33)</f>
        <v>1.4464413322481351</v>
      </c>
      <c r="E33">
        <f>DEGREES(D33)</f>
        <v>82.874983651098205</v>
      </c>
      <c r="I33" s="2" t="s">
        <v>2</v>
      </c>
      <c r="J33" s="34">
        <f>IF(AND(K27&lt;&gt;P30,K27&lt;&gt;O30,K27&lt;&gt;K30,K27&lt;&gt;J30,K27&gt;N8),(M30*K27)/(O30+K27),(M30*K28)/(O30+K28))</f>
        <v>1.8854408916038852</v>
      </c>
      <c r="L33">
        <f>(J30-J33)/K30</f>
        <v>0.22291182167922297</v>
      </c>
      <c r="M33">
        <f>ATAN(L33)</f>
        <v>0.21932599754610982</v>
      </c>
      <c r="N33">
        <f>DEGREES(M33)</f>
        <v>12.566453996888743</v>
      </c>
      <c r="T33" s="26" t="s">
        <v>30</v>
      </c>
      <c r="U33" s="31">
        <f>(Z38+AA38-X26)*3</f>
        <v>5.6611129443536123</v>
      </c>
      <c r="V33">
        <f>3/Y32</f>
        <v>8</v>
      </c>
      <c r="W33">
        <f>ATAN(V33)</f>
        <v>1.4464413322481351</v>
      </c>
      <c r="X33">
        <f>DEGREES(W33)</f>
        <v>82.874983651098205</v>
      </c>
      <c r="AB33" s="2" t="s">
        <v>2</v>
      </c>
      <c r="AC33" s="34">
        <f>IF(AND(AD27&lt;&gt;AI30,AD27&lt;&gt;AH30,AD27&lt;&gt;AD30,AD27&lt;&gt;AC30,AD27&gt;AG8),(AF30*AD27)/(AH30+AD27),(AF30*AD28)/(AH30+AD28))</f>
        <v>1.8854408916038852</v>
      </c>
      <c r="AE33">
        <f>(AC30-AC33)/AD30</f>
        <v>0.22291182167922297</v>
      </c>
      <c r="AF33">
        <f>ATAN(AE33)</f>
        <v>0.21932599754610982</v>
      </c>
      <c r="AG33">
        <f>DEGREES(AF33)</f>
        <v>12.566453996888743</v>
      </c>
      <c r="AM33" s="26" t="s">
        <v>30</v>
      </c>
      <c r="AN33" s="31">
        <f>(AS38+AT38-AQ26)*3</f>
        <v>5.6611129443536123</v>
      </c>
      <c r="AO33">
        <f>3/AR32</f>
        <v>8</v>
      </c>
      <c r="AP33">
        <f>ATAN(AO33)</f>
        <v>1.4464413322481351</v>
      </c>
      <c r="AQ33">
        <f>DEGREES(AP33)</f>
        <v>82.874983651098205</v>
      </c>
      <c r="AU33" s="2" t="s">
        <v>2</v>
      </c>
      <c r="AV33" s="34">
        <f>IF(AND(AW27&lt;&gt;BB30,AW27&lt;&gt;BA30,AW27&lt;&gt;AW30,AW27&lt;&gt;AV30,AW27&gt;AZ8),(AY30*AW27)/(BA30+AW27),(AY30*AW28)/(BA30+AW28))</f>
        <v>1.8854408916038852</v>
      </c>
      <c r="AX33">
        <f>(AV30-AV33)/AW30</f>
        <v>0.22291182167922297</v>
      </c>
      <c r="AY33">
        <f>ATAN(AX33)</f>
        <v>0.21932599754610982</v>
      </c>
      <c r="AZ33">
        <f>DEGREES(AY33)</f>
        <v>12.566453996888743</v>
      </c>
    </row>
    <row r="34" spans="1:55" ht="20">
      <c r="A34" s="26" t="s">
        <v>38</v>
      </c>
      <c r="B34" s="31">
        <f>LOG10(G38+H38-E26)*20</f>
        <v>5.5156112964278474</v>
      </c>
      <c r="I34" s="2" t="s">
        <v>3</v>
      </c>
      <c r="T34" s="26" t="s">
        <v>38</v>
      </c>
      <c r="U34" s="31">
        <f>LOG10(Z38+AA38-X26)*20</f>
        <v>5.5156112964278474</v>
      </c>
      <c r="AB34" s="2" t="s">
        <v>3</v>
      </c>
      <c r="AM34" s="26" t="s">
        <v>38</v>
      </c>
      <c r="AN34" s="31">
        <f>LOG10(AS38+AT38-AQ26)*20</f>
        <v>5.5156112964278474</v>
      </c>
      <c r="AU34" s="2" t="s">
        <v>3</v>
      </c>
    </row>
    <row r="35" spans="1:55" ht="20">
      <c r="A35" s="27" t="s">
        <v>32</v>
      </c>
      <c r="B35" s="38">
        <f>64*45/90</f>
        <v>32</v>
      </c>
      <c r="C35">
        <f>3+B24</f>
        <v>5</v>
      </c>
      <c r="E35">
        <f>(C35*B23)/(D28+C35)</f>
        <v>0.625</v>
      </c>
      <c r="F35">
        <f>B23-E35</f>
        <v>0.375</v>
      </c>
      <c r="G35">
        <f>SQRT(C35^2+E35^2)</f>
        <v>5.0389110926865932</v>
      </c>
      <c r="H35">
        <f>SQRT(D28^2+F35^2)</f>
        <v>3.0233466556119559</v>
      </c>
      <c r="I35" s="2" t="s">
        <v>1</v>
      </c>
      <c r="J35" s="21">
        <f>P30-J33</f>
        <v>2.1145591083961151</v>
      </c>
      <c r="K35" s="44">
        <f>SQRT(J35^2+O30^2)</f>
        <v>2.3390938892872541</v>
      </c>
      <c r="L35">
        <f>IF(AND(K27&lt;&gt;P30,K27&lt;&gt;O30,K27&lt;&gt;K30,K27&lt;&gt;J30,K27&gt;N8),(K27^2),(K28^2))</f>
        <v>0.79503488390959476</v>
      </c>
      <c r="M35">
        <f>J33^2</f>
        <v>3.5548873557320535</v>
      </c>
      <c r="N35" s="44">
        <f>SQRT(L35+M35)</f>
        <v>2.0856467197590409</v>
      </c>
      <c r="T35" s="27" t="s">
        <v>32</v>
      </c>
      <c r="U35" s="38">
        <f>50*45/90</f>
        <v>25</v>
      </c>
      <c r="V35">
        <f>3+U24</f>
        <v>5</v>
      </c>
      <c r="X35">
        <f>(V35*U23)/(W28+V35)</f>
        <v>0.625</v>
      </c>
      <c r="Y35">
        <f>U23-X35</f>
        <v>0.375</v>
      </c>
      <c r="Z35">
        <f>SQRT(V35^2+X35^2)</f>
        <v>5.0389110926865932</v>
      </c>
      <c r="AA35">
        <f>SQRT(W28^2+Y35^2)</f>
        <v>3.0233466556119559</v>
      </c>
      <c r="AB35" s="2" t="s">
        <v>1</v>
      </c>
      <c r="AC35" s="21">
        <f>AI30-AC33</f>
        <v>2.1145591083961151</v>
      </c>
      <c r="AD35" s="44">
        <f>SQRT(AC35^2+AH30^2)</f>
        <v>2.3390938892872541</v>
      </c>
      <c r="AE35">
        <f>IF(AND(AD27&lt;&gt;AI30,AD27&lt;&gt;AH30,AD27&lt;&gt;AD30,AD27&lt;&gt;AC30,AD27&gt;AG8),(AD27^2),(AD28^2))</f>
        <v>0.79503488390959476</v>
      </c>
      <c r="AF35">
        <f>AC33^2</f>
        <v>3.5548873557320535</v>
      </c>
      <c r="AG35" s="44">
        <f>SQRT(AE35+AF35)</f>
        <v>2.0856467197590409</v>
      </c>
      <c r="AM35" s="27" t="s">
        <v>32</v>
      </c>
      <c r="AN35" s="38">
        <f>100*45/90</f>
        <v>50</v>
      </c>
      <c r="AO35">
        <f>3+AN24</f>
        <v>5</v>
      </c>
      <c r="AQ35">
        <f>(AO35*AN23)/(AP28+AO35)</f>
        <v>0.625</v>
      </c>
      <c r="AR35">
        <f>AN23-AQ35</f>
        <v>0.375</v>
      </c>
      <c r="AS35">
        <f>SQRT(AO35^2+AQ35^2)</f>
        <v>5.0389110926865932</v>
      </c>
      <c r="AT35">
        <f>SQRT(AP28^2+AR35^2)</f>
        <v>3.0233466556119559</v>
      </c>
      <c r="AU35" s="2" t="s">
        <v>1</v>
      </c>
      <c r="AV35" s="21">
        <f>BB30-AV33</f>
        <v>2.1145591083961151</v>
      </c>
      <c r="AW35" s="44">
        <f>SQRT(AV35^2+BA30^2)</f>
        <v>2.3390938892872541</v>
      </c>
      <c r="AX35">
        <f>IF(AND(AW27&lt;&gt;BB30,AW27&lt;&gt;BA30,AW27&lt;&gt;AW30,AW27&lt;&gt;AV30,AW27&gt;AZ8),(AW27^2),(AW28^2))</f>
        <v>0.79503488390959476</v>
      </c>
      <c r="AY35">
        <f>AV33^2</f>
        <v>3.5548873557320535</v>
      </c>
      <c r="AZ35" s="44">
        <f>SQRT(AX35+AY35)</f>
        <v>2.0856467197590409</v>
      </c>
    </row>
    <row r="36" spans="1:55" ht="20">
      <c r="A36" s="27" t="s">
        <v>33</v>
      </c>
      <c r="B36" s="45">
        <f>(O39-E26)*3</f>
        <v>29.416579803877518</v>
      </c>
      <c r="C36">
        <f>ATAN(C35/F35)</f>
        <v>1.4959364790841299</v>
      </c>
      <c r="D36">
        <f>DEGREES(C36)</f>
        <v>85.710846671180988</v>
      </c>
      <c r="I36" s="2" t="s">
        <v>2</v>
      </c>
      <c r="J36">
        <f>IF(AND(K27&lt;&gt;P30,K27&lt;&gt;O30,K27&lt;&gt;K30,K27&lt;&gt;J30,K27&gt;N8),((J30-K27)^2),((J30-K28)^2))</f>
        <v>4.4451511636082444</v>
      </c>
      <c r="K36">
        <f>K30^2</f>
        <v>25</v>
      </c>
      <c r="L36" s="44">
        <f>SQRT(K36+J36)</f>
        <v>5.426338651762185</v>
      </c>
      <c r="N36">
        <f>K35+N35+L36</f>
        <v>9.8510792608084792</v>
      </c>
      <c r="T36" s="27" t="s">
        <v>33</v>
      </c>
      <c r="U36" s="38">
        <f>(AH39-X26)*3</f>
        <v>29.416579803877518</v>
      </c>
      <c r="V36">
        <f>ATAN(V35/Y35)</f>
        <v>1.4959364790841299</v>
      </c>
      <c r="W36">
        <f>DEGREES(V36)</f>
        <v>85.710846671180988</v>
      </c>
      <c r="AB36" s="2" t="s">
        <v>2</v>
      </c>
      <c r="AC36">
        <f>IF(AND(AD27&lt;&gt;AI30,AD27&lt;&gt;AH30,AD27&lt;&gt;AD30,AD27&lt;&gt;AC30,AD27&gt;AG8),((AC30-AD27)^2),((AC30-AD28)^2))</f>
        <v>4.4451511636082444</v>
      </c>
      <c r="AD36">
        <f>AD30^2</f>
        <v>25</v>
      </c>
      <c r="AE36" s="44">
        <f>SQRT(AD36+AC36)</f>
        <v>5.426338651762185</v>
      </c>
      <c r="AG36">
        <f>AD35+AG35+AE36</f>
        <v>9.8510792608084792</v>
      </c>
      <c r="AM36" s="27" t="s">
        <v>33</v>
      </c>
      <c r="AN36" s="38">
        <f>(BA39-AQ26)*3</f>
        <v>29.416579803877518</v>
      </c>
      <c r="AO36">
        <f>ATAN(AO35/AR35)</f>
        <v>1.4959364790841299</v>
      </c>
      <c r="AP36">
        <f>DEGREES(AO36)</f>
        <v>85.710846671180988</v>
      </c>
      <c r="AU36" s="2" t="s">
        <v>2</v>
      </c>
      <c r="AV36">
        <f>IF(AND(AW27&lt;&gt;BB30,AW27&lt;&gt;BA30,AW27&lt;&gt;AW30,AW27&lt;&gt;AV30,AW27&gt;AZ8),((AV30-AW27)^2),((AV30-AW28)^2))</f>
        <v>4.4451511636082444</v>
      </c>
      <c r="AW36">
        <f>AW30^2</f>
        <v>25</v>
      </c>
      <c r="AX36" s="44">
        <f>SQRT(AW36+AV36)</f>
        <v>5.426338651762185</v>
      </c>
      <c r="AZ36">
        <f>AW35+AZ35+AX36</f>
        <v>9.8510792608084792</v>
      </c>
    </row>
    <row r="37" spans="1:55" ht="20">
      <c r="A37" s="27" t="s">
        <v>34</v>
      </c>
      <c r="B37" s="45">
        <f>LOG10(O39-E26)*20</f>
        <v>19.829418444307109</v>
      </c>
      <c r="I37" s="2" t="s">
        <v>3</v>
      </c>
      <c r="T37" s="27" t="s">
        <v>34</v>
      </c>
      <c r="U37" s="38">
        <f>LOG10(AH39-X26)*20</f>
        <v>19.829418444307109</v>
      </c>
      <c r="AB37" s="2" t="s">
        <v>3</v>
      </c>
      <c r="AM37" s="27" t="s">
        <v>34</v>
      </c>
      <c r="AN37" s="38">
        <f>LOG10(BA39-AQ26)*20</f>
        <v>19.829418444307109</v>
      </c>
      <c r="AU37" s="2" t="s">
        <v>3</v>
      </c>
    </row>
    <row r="38" spans="1:55" ht="20">
      <c r="A38" s="27" t="s">
        <v>35</v>
      </c>
      <c r="B38" s="45">
        <f>(64*N33)/90</f>
        <v>8.9361450644542177</v>
      </c>
      <c r="C38">
        <f>3-B24</f>
        <v>1</v>
      </c>
      <c r="D38">
        <f>D28/F38</f>
        <v>4</v>
      </c>
      <c r="E38">
        <f>(C38*B23)/(D28+C38)</f>
        <v>0.25</v>
      </c>
      <c r="F38">
        <f>B23-E38</f>
        <v>0.75</v>
      </c>
      <c r="G38">
        <f>SQRT(C38^2+E38^2)</f>
        <v>1.0307764064044151</v>
      </c>
      <c r="H38">
        <f>SQRT(D28^2+F38^2)</f>
        <v>3.0923292192132452</v>
      </c>
      <c r="I38" s="2" t="s">
        <v>1</v>
      </c>
      <c r="J38" s="36">
        <f>5-B23</f>
        <v>4</v>
      </c>
      <c r="K38" s="36">
        <f>6-(3-B24)</f>
        <v>5</v>
      </c>
      <c r="L38">
        <f>J38*J30</f>
        <v>12</v>
      </c>
      <c r="M38">
        <f>K38*K30</f>
        <v>25</v>
      </c>
      <c r="N38" s="21">
        <f>K30+J38</f>
        <v>9</v>
      </c>
      <c r="O38">
        <f>M38-L38</f>
        <v>13</v>
      </c>
      <c r="P38">
        <f>O38/N38</f>
        <v>1.4444444444444444</v>
      </c>
      <c r="Q38" s="44">
        <f>(K30*P38)/(J30+P38)</f>
        <v>1.625</v>
      </c>
      <c r="T38" s="27" t="s">
        <v>35</v>
      </c>
      <c r="U38" s="38">
        <f>(50*AG33)/90</f>
        <v>6.9813633316048573</v>
      </c>
      <c r="V38">
        <f>3-U24</f>
        <v>1</v>
      </c>
      <c r="W38">
        <f>W28/Y38</f>
        <v>4</v>
      </c>
      <c r="X38">
        <f>(V38*U23)/(W28+V38)</f>
        <v>0.25</v>
      </c>
      <c r="Y38">
        <f>U23-X38</f>
        <v>0.75</v>
      </c>
      <c r="Z38">
        <f>SQRT(V38^2+X38^2)</f>
        <v>1.0307764064044151</v>
      </c>
      <c r="AA38">
        <f>SQRT(W28^2+Y38^2)</f>
        <v>3.0923292192132452</v>
      </c>
      <c r="AB38" s="2" t="s">
        <v>1</v>
      </c>
      <c r="AC38" s="36">
        <f>5-U23</f>
        <v>4</v>
      </c>
      <c r="AD38" s="36">
        <f>6-(3-U24)</f>
        <v>5</v>
      </c>
      <c r="AE38">
        <f>AC38*AC30</f>
        <v>12</v>
      </c>
      <c r="AF38">
        <f>AD38*AD30</f>
        <v>25</v>
      </c>
      <c r="AG38" s="21">
        <f>AD30+AC38</f>
        <v>9</v>
      </c>
      <c r="AH38">
        <f>AF38-AE38</f>
        <v>13</v>
      </c>
      <c r="AI38">
        <f>AH38/AG38</f>
        <v>1.4444444444444444</v>
      </c>
      <c r="AJ38" s="44">
        <f>(AD30*AI38)/(AC30+AI38)</f>
        <v>1.625</v>
      </c>
      <c r="AM38" s="27" t="s">
        <v>35</v>
      </c>
      <c r="AN38" s="38">
        <f>(100*AZ33)/90</f>
        <v>13.962726663209715</v>
      </c>
      <c r="AO38">
        <f>3-AN24</f>
        <v>1</v>
      </c>
      <c r="AP38">
        <f>AP28/AR38</f>
        <v>4</v>
      </c>
      <c r="AQ38">
        <f>(AO38*AN23)/(AP28+AO38)</f>
        <v>0.25</v>
      </c>
      <c r="AR38">
        <f>AN23-AQ38</f>
        <v>0.75</v>
      </c>
      <c r="AS38">
        <f>SQRT(AO38^2+AQ38^2)</f>
        <v>1.0307764064044151</v>
      </c>
      <c r="AT38">
        <f>SQRT(AP28^2+AR38^2)</f>
        <v>3.0923292192132452</v>
      </c>
      <c r="AU38" s="2" t="s">
        <v>1</v>
      </c>
      <c r="AV38" s="36">
        <f>5-AN23</f>
        <v>4</v>
      </c>
      <c r="AW38" s="36">
        <f>6-(3-AN24)</f>
        <v>5</v>
      </c>
      <c r="AX38">
        <f>AV38*AV30</f>
        <v>12</v>
      </c>
      <c r="AY38">
        <f>AW38*AW30</f>
        <v>25</v>
      </c>
      <c r="AZ38" s="21">
        <f>AW30+AV38</f>
        <v>9</v>
      </c>
      <c r="BA38">
        <f>AY38-AX38</f>
        <v>13</v>
      </c>
      <c r="BB38">
        <f>BA38/AZ38</f>
        <v>1.4444444444444444</v>
      </c>
      <c r="BC38" s="44">
        <f>(AW30*BB38)/(AV30+BB38)</f>
        <v>1.625</v>
      </c>
    </row>
    <row r="39" spans="1:55" ht="20">
      <c r="A39" s="27" t="s">
        <v>36</v>
      </c>
      <c r="B39" s="45">
        <f>(N36-E26)*3</f>
        <v>22.845033849926068</v>
      </c>
      <c r="C39">
        <f>ATAN(D38)</f>
        <v>1.3258176636680326</v>
      </c>
      <c r="D39">
        <f>DEGREES(C39)</f>
        <v>75.963756532073532</v>
      </c>
      <c r="I39" s="2" t="s">
        <v>2</v>
      </c>
      <c r="J39" s="21">
        <f>K38-P38</f>
        <v>3.5555555555555554</v>
      </c>
      <c r="K39" s="34">
        <f>SQRT(J38^2+J39^2)</f>
        <v>5.3518198127965757</v>
      </c>
      <c r="L39" s="34">
        <f>SQRT(P38^2+Q38^2)</f>
        <v>2.1741767989486087</v>
      </c>
      <c r="M39">
        <f>5-Q38</f>
        <v>3.375</v>
      </c>
      <c r="N39" s="34">
        <f>SQRT(M39^2+J30^2)</f>
        <v>4.5155979670471105</v>
      </c>
      <c r="O39">
        <f>K39+L39+N39</f>
        <v>12.041594578792296</v>
      </c>
      <c r="T39" s="27" t="s">
        <v>36</v>
      </c>
      <c r="U39" s="38">
        <f>(AG36-X26)*3</f>
        <v>22.845033849926068</v>
      </c>
      <c r="V39">
        <f>ATAN(W38)</f>
        <v>1.3258176636680326</v>
      </c>
      <c r="W39">
        <f>DEGREES(V39)</f>
        <v>75.963756532073532</v>
      </c>
      <c r="AB39" s="2" t="s">
        <v>2</v>
      </c>
      <c r="AC39" s="21">
        <f>AD38-AI38</f>
        <v>3.5555555555555554</v>
      </c>
      <c r="AD39" s="34">
        <f>SQRT(AC38^2+AC39^2)</f>
        <v>5.3518198127965757</v>
      </c>
      <c r="AE39" s="34">
        <f>SQRT(AI38^2+AJ38^2)</f>
        <v>2.1741767989486087</v>
      </c>
      <c r="AF39">
        <f>5-AJ38</f>
        <v>3.375</v>
      </c>
      <c r="AG39" s="34">
        <f>SQRT(AF39^2+AC30^2)</f>
        <v>4.5155979670471105</v>
      </c>
      <c r="AH39">
        <f>AD39+AE39+AG39</f>
        <v>12.041594578792296</v>
      </c>
      <c r="AM39" s="27" t="s">
        <v>36</v>
      </c>
      <c r="AN39" s="38">
        <f>(AZ36-AQ26)*3</f>
        <v>22.845033849926068</v>
      </c>
      <c r="AO39">
        <f>ATAN(AP38)</f>
        <v>1.3258176636680326</v>
      </c>
      <c r="AP39">
        <f>DEGREES(AO39)</f>
        <v>75.963756532073532</v>
      </c>
      <c r="AU39" s="2" t="s">
        <v>2</v>
      </c>
      <c r="AV39" s="21">
        <f>AW38-BB38</f>
        <v>3.5555555555555554</v>
      </c>
      <c r="AW39" s="34">
        <f>SQRT(AV38^2+AV39^2)</f>
        <v>5.3518198127965757</v>
      </c>
      <c r="AX39" s="34">
        <f>SQRT(BB38^2+BC38^2)</f>
        <v>2.1741767989486087</v>
      </c>
      <c r="AY39">
        <f>5-BC38</f>
        <v>3.375</v>
      </c>
      <c r="AZ39" s="34">
        <f>SQRT(AY39^2+AV30^2)</f>
        <v>4.5155979670471105</v>
      </c>
      <c r="BA39">
        <f>AW39+AX39+AZ39</f>
        <v>12.041594578792296</v>
      </c>
    </row>
    <row r="40" spans="1:55" ht="21" thickBot="1">
      <c r="A40" s="27" t="s">
        <v>37</v>
      </c>
      <c r="B40" s="46">
        <f>LOG10(N36-E26)*20</f>
        <v>17.633411023500507</v>
      </c>
      <c r="I40" s="2" t="s">
        <v>3</v>
      </c>
      <c r="J40">
        <f>J30/M39</f>
        <v>0.88888888888888884</v>
      </c>
      <c r="K40">
        <f>ATAN(J40)</f>
        <v>0.72664234068172562</v>
      </c>
      <c r="L40">
        <f>DEGREES(K40)</f>
        <v>41.633539336570202</v>
      </c>
      <c r="T40" s="27" t="s">
        <v>37</v>
      </c>
      <c r="U40" s="39">
        <f>LOG10(AG36-X26)*20</f>
        <v>17.633411023500507</v>
      </c>
      <c r="AB40" s="2" t="s">
        <v>3</v>
      </c>
      <c r="AC40">
        <f>AC30/AF39</f>
        <v>0.88888888888888884</v>
      </c>
      <c r="AD40">
        <f>ATAN(AC40)</f>
        <v>0.72664234068172562</v>
      </c>
      <c r="AE40">
        <f>DEGREES(AD40)</f>
        <v>41.633539336570202</v>
      </c>
      <c r="AM40" s="27" t="s">
        <v>37</v>
      </c>
      <c r="AN40" s="39">
        <f>LOG10(AZ36-AQ26)*20</f>
        <v>17.633411023500507</v>
      </c>
      <c r="AU40" s="2" t="s">
        <v>3</v>
      </c>
      <c r="AV40">
        <f>AV30/AY39</f>
        <v>0.88888888888888884</v>
      </c>
      <c r="AW40">
        <f>ATAN(AV40)</f>
        <v>0.72664234068172562</v>
      </c>
      <c r="AX40">
        <f>DEGREES(AW40)</f>
        <v>41.633539336570202</v>
      </c>
    </row>
    <row r="41" spans="1:55" ht="20">
      <c r="A41" s="43" t="s">
        <v>43</v>
      </c>
      <c r="B41"/>
      <c r="C41">
        <v>3</v>
      </c>
      <c r="D41" s="3">
        <v>5</v>
      </c>
      <c r="E41" s="3">
        <f>3-B24</f>
        <v>1</v>
      </c>
      <c r="T41" s="43" t="s">
        <v>42</v>
      </c>
      <c r="V41">
        <v>3</v>
      </c>
      <c r="W41" s="3">
        <v>5</v>
      </c>
      <c r="X41" s="3">
        <f>3-U24</f>
        <v>1</v>
      </c>
      <c r="AM41" s="43" t="s">
        <v>44</v>
      </c>
      <c r="AO41">
        <v>3</v>
      </c>
      <c r="AP41" s="3">
        <v>5</v>
      </c>
      <c r="AQ41" s="3">
        <f>3-AN24</f>
        <v>1</v>
      </c>
    </row>
    <row r="42" spans="1:55">
      <c r="B42"/>
    </row>
    <row r="43" spans="1:55">
      <c r="B43"/>
    </row>
    <row r="44" spans="1:55">
      <c r="B44"/>
    </row>
    <row r="45" spans="1:55">
      <c r="B45"/>
    </row>
    <row r="46" spans="1:55">
      <c r="B46"/>
    </row>
    <row r="47" spans="1:55">
      <c r="B47"/>
    </row>
  </sheetData>
  <mergeCells count="6">
    <mergeCell ref="A1:B1"/>
    <mergeCell ref="T1:U1"/>
    <mergeCell ref="AM1:AN1"/>
    <mergeCell ref="A22:B22"/>
    <mergeCell ref="T22:U22"/>
    <mergeCell ref="AM22:AN22"/>
  </mergeCells>
  <phoneticPr fontId="1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FUENTES EN EL EJE CENTRAL</vt:lpstr>
      <vt:lpstr>FUENTES FUERA DEL EJE CENTRAL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enjoyallparties</dc:creator>
  <cp:lastModifiedBy>enjoyallparties</cp:lastModifiedBy>
  <cp:lastPrinted>2014-04-18T17:10:09Z</cp:lastPrinted>
  <dcterms:created xsi:type="dcterms:W3CDTF">2014-04-18T13:57:20Z</dcterms:created>
  <dcterms:modified xsi:type="dcterms:W3CDTF">2014-05-15T19:06:07Z</dcterms:modified>
</cp:coreProperties>
</file>